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Client Fulfillment\Calculators\Arcadia\"/>
    </mc:Choice>
  </mc:AlternateContent>
  <bookViews>
    <workbookView xWindow="0" yWindow="0" windowWidth="28800" windowHeight="15756" tabRatio="604" firstSheet="1" activeTab="1"/>
  </bookViews>
  <sheets>
    <sheet name="Revision" sheetId="24" state="veryHidden" r:id="rId1"/>
    <sheet name="Calculator" sheetId="4" r:id="rId2"/>
    <sheet name="Info" sheetId="5" state="veryHidden" r:id="rId3"/>
    <sheet name="Matrix" sheetId="14" state="veryHidden" r:id="rId4"/>
    <sheet name="Assy" sheetId="15" state="hidden" r:id="rId5"/>
    <sheet name="Pic" sheetId="20" state="veryHidden" r:id="rId6"/>
    <sheet name="Fabric Charge" sheetId="12" state="veryHidden" r:id="rId7"/>
    <sheet name="Pricing" sheetId="25" state="veryHidden" r:id="rId8"/>
  </sheets>
  <definedNames>
    <definedName name="_xlnm._FilterDatabase" localSheetId="2" hidden="1">Info!$A$4:$E$181</definedName>
    <definedName name="eight">Pic!$B$10</definedName>
    <definedName name="eighteen">Pic!$B$20</definedName>
    <definedName name="eighty">Pic!#REF!</definedName>
    <definedName name="eightyeight">Pic!$B$54</definedName>
    <definedName name="eightyfive">Pic!$B$53</definedName>
    <definedName name="eightyforu">Pic!#REF!</definedName>
    <definedName name="eightyfour">Pic!#REF!</definedName>
    <definedName name="eightynine">Pic!$B$55</definedName>
    <definedName name="eightyone">Pic!#REF!</definedName>
    <definedName name="eightyseven">Pic!#REF!</definedName>
    <definedName name="eightysix">Pic!#REF!</definedName>
    <definedName name="eightythree">Pic!#REF!</definedName>
    <definedName name="eightytwo">Pic!$B$52</definedName>
    <definedName name="eleven">Pic!$B$13</definedName>
    <definedName name="fifteen">Pic!$B$17</definedName>
    <definedName name="fifty">Pic!#REF!</definedName>
    <definedName name="fiftyeight">Pic!#REF!</definedName>
    <definedName name="fiftyfive">Pic!$B$41</definedName>
    <definedName name="fiftyfour">Pic!$B$40</definedName>
    <definedName name="fiftynine">Pic!$B$43</definedName>
    <definedName name="fiftyone">Pic!$B$39</definedName>
    <definedName name="fiftyseven">Pic!#REF!</definedName>
    <definedName name="fiftysix">Pic!$B$42</definedName>
    <definedName name="fiftythree">Pic!#REF!</definedName>
    <definedName name="fiftytwo">Pic!#REF!</definedName>
    <definedName name="five">Pic!$B$7</definedName>
    <definedName name="forty">Pic!$B$34</definedName>
    <definedName name="fortyeight">Pic!$B$38</definedName>
    <definedName name="fortyfive">Pic!#REF!</definedName>
    <definedName name="fortyfour">Pic!$B$36</definedName>
    <definedName name="fortynine">Pic!#REF!</definedName>
    <definedName name="fortyone">Pic!$B$35</definedName>
    <definedName name="fortyseven">Pic!$B$37</definedName>
    <definedName name="fortysix">Pic!#REF!</definedName>
    <definedName name="fortythree">Pic!#REF!</definedName>
    <definedName name="fortytwo">Pic!#REF!</definedName>
    <definedName name="four">Pic!$B$6</definedName>
    <definedName name="fourteen">Pic!$B$16</definedName>
    <definedName name="fourty">Pic!$B$34</definedName>
    <definedName name="nine">Pic!$B$11</definedName>
    <definedName name="nineteen">Pic!$B$21</definedName>
    <definedName name="ninety">Pic!#REF!</definedName>
    <definedName name="ninetyeight">Pic!#REF!</definedName>
    <definedName name="ninetyfive">Pic!#REF!</definedName>
    <definedName name="ninetyfour">Pic!#REF!</definedName>
    <definedName name="ninetynine">Pic!#REF!</definedName>
    <definedName name="ninetyone">Pic!#REF!</definedName>
    <definedName name="ninetyseven">Pic!$B$59</definedName>
    <definedName name="ninetysix">Pic!$B$58</definedName>
    <definedName name="ninetythree">Pic!$B$57</definedName>
    <definedName name="ninetytwo">Pic!$B$56</definedName>
    <definedName name="one">Pic!$B$3</definedName>
    <definedName name="oneeight">Pic!$B$64</definedName>
    <definedName name="oneeighteen">Pic!#REF!</definedName>
    <definedName name="oneeighty">Pic!$B$98</definedName>
    <definedName name="oneeightyeighty">Pic!$B$102</definedName>
    <definedName name="oneeightyfive">Pic!$B$101</definedName>
    <definedName name="oneeightyfour">Pic!$B$100</definedName>
    <definedName name="oneeightynine">Pic!$B$103</definedName>
    <definedName name="oneeightyone">Pic!$B$99</definedName>
    <definedName name="oneeightyseven">Pic!#REF!</definedName>
    <definedName name="oneeightysix">Pic!#REF!</definedName>
    <definedName name="oneeightythree">Pic!#REF!</definedName>
    <definedName name="oneeightytwo">Pic!#REF!</definedName>
    <definedName name="oneeleven">Pic!#REF!</definedName>
    <definedName name="onefifteen">Pic!#REF!</definedName>
    <definedName name="onefifty">Pic!#REF!</definedName>
    <definedName name="onefiftyeight">Pic!$B$88</definedName>
    <definedName name="onefiftyfive">Pic!$B$87</definedName>
    <definedName name="onefiftyfour">Pic!#REF!</definedName>
    <definedName name="onefiftynine">Pic!#REF!</definedName>
    <definedName name="onefiftyone">Pic!#REF!</definedName>
    <definedName name="onefiftyseven">Pic!#REF!</definedName>
    <definedName name="onefiftysix">Pic!#REF!</definedName>
    <definedName name="onefiftythree">Pic!#REF!</definedName>
    <definedName name="onefiftytwo">Pic!$B$86</definedName>
    <definedName name="onefive">Pic!$B$63</definedName>
    <definedName name="oneforty">Pic!$B$80</definedName>
    <definedName name="onefortyeight">Pic!$B$84</definedName>
    <definedName name="onefortyfive">Pic!$B$83</definedName>
    <definedName name="onefortyfour">Pic!$B$82</definedName>
    <definedName name="onefortynine">Pic!$B$85</definedName>
    <definedName name="onefortyone">Pic!$B$81</definedName>
    <definedName name="onefortyseven">Pic!#REF!</definedName>
    <definedName name="onefortysix">Pic!#REF!</definedName>
    <definedName name="onefortythree">Pic!#REF!</definedName>
    <definedName name="onefortytwo">Pic!#REF!</definedName>
    <definedName name="onefour">Pic!$B$62</definedName>
    <definedName name="onefourteen">Pic!#REF!</definedName>
    <definedName name="onehundred">Pic!$B$60</definedName>
    <definedName name="onenine">Pic!$B$65</definedName>
    <definedName name="oneninety">Pic!#REF!</definedName>
    <definedName name="oneninetyeight">Pic!#REF!</definedName>
    <definedName name="oneninetyfive">Pic!#REF!</definedName>
    <definedName name="oneninetyfour">Pic!#REF!</definedName>
    <definedName name="oneninetynine">Pic!#REF!</definedName>
    <definedName name="oneninetyone">Pic!#REF!</definedName>
    <definedName name="oneninetyseven">Pic!$B$107</definedName>
    <definedName name="oneninetysix">Pic!$B$106</definedName>
    <definedName name="oneninetythree">Pic!$B$105</definedName>
    <definedName name="oneninetytwo">Pic!$B$104</definedName>
    <definedName name="oneninteteen">Pic!#REF!</definedName>
    <definedName name="oneone">Pic!$B$61</definedName>
    <definedName name="oneseven">Pic!#REF!</definedName>
    <definedName name="oneseventeen">Pic!$B$69</definedName>
    <definedName name="oneseventy">Pic!#REF!</definedName>
    <definedName name="oneseventyeight">Pic!#REF!</definedName>
    <definedName name="oneseventyfive">Pic!#REF!</definedName>
    <definedName name="oneseventyfour">Pic!#REF!</definedName>
    <definedName name="oneseventynine">Pic!#REF!</definedName>
    <definedName name="oneseventyone">Pic!#REF!</definedName>
    <definedName name="oneseventyseven">Pic!$B$97</definedName>
    <definedName name="oneseventysix">Pic!$B$96</definedName>
    <definedName name="oneseventythree">Pic!$B$95</definedName>
    <definedName name="oneseventytwo">Pic!$B$94</definedName>
    <definedName name="onesix">Pic!#REF!</definedName>
    <definedName name="onesixteen">Pic!$B$68</definedName>
    <definedName name="onesixty">Pic!#REF!</definedName>
    <definedName name="onesixtyeight">Pic!$B$92</definedName>
    <definedName name="onesixtyfive">Pic!$B$91</definedName>
    <definedName name="onesixtyfour">Pic!$B$90</definedName>
    <definedName name="onesixtynine">Pic!$B$93</definedName>
    <definedName name="onesixtyone">Pic!$B$89</definedName>
    <definedName name="onesixtyseven">Pic!#REF!</definedName>
    <definedName name="onesixtysix">Pic!#REF!</definedName>
    <definedName name="onesixtythree">Pic!#REF!</definedName>
    <definedName name="onesixtytwo">Pic!#REF!</definedName>
    <definedName name="oneten">Pic!#REF!</definedName>
    <definedName name="onethirteen">Pic!$B$67</definedName>
    <definedName name="onethirty">Pic!#REF!</definedName>
    <definedName name="onethirtyeight">Pic!#REF!</definedName>
    <definedName name="onethirtyfive">Pic!#REF!</definedName>
    <definedName name="onethirtyfour">Pic!#REF!</definedName>
    <definedName name="onethirtynine">Pic!#REF!</definedName>
    <definedName name="onethirtyone">Pic!#REF!</definedName>
    <definedName name="onethirtyseven">Pic!$B$79</definedName>
    <definedName name="onethirtysix">Pic!$B$78</definedName>
    <definedName name="onethirtythree">Pic!$B$77</definedName>
    <definedName name="onethirtytwo">Pic!$B$76</definedName>
    <definedName name="onethree">Pic!#REF!</definedName>
    <definedName name="onetwelve">Pic!$B$66</definedName>
    <definedName name="onetwenty">Pic!$B$70</definedName>
    <definedName name="onetwentyeight">Pic!$B$74</definedName>
    <definedName name="onetwentyfive">Pic!$B$73</definedName>
    <definedName name="onetwentyfour">Pic!$B$72</definedName>
    <definedName name="onetwentynine">Pic!$B$75</definedName>
    <definedName name="onetwentyone">Pic!$B$71</definedName>
    <definedName name="onetwentyseven">Pic!#REF!</definedName>
    <definedName name="onetwentysix">Pic!#REF!</definedName>
    <definedName name="onetwentythree">Pic!#REF!</definedName>
    <definedName name="onetwentytwo">Pic!#REF!</definedName>
    <definedName name="onetwo">Pic!#REF!</definedName>
    <definedName name="Pic">INDIRECT(Info!$C$359)</definedName>
    <definedName name="_xlnm.Print_Area" localSheetId="4">Assy!$A$1:$E$84</definedName>
    <definedName name="_xlnm.Print_Area" localSheetId="1">Calculator!$H$1:$O$43</definedName>
    <definedName name="seven">Pic!$B$9</definedName>
    <definedName name="seventeen">Pic!$B$19</definedName>
    <definedName name="seventy">Pic!$B$48</definedName>
    <definedName name="seventyeight">Pic!#REF!</definedName>
    <definedName name="seventyfive">Pic!#REF!</definedName>
    <definedName name="seventyfour">Pic!#REF!</definedName>
    <definedName name="seventynine">Pic!$B$51</definedName>
    <definedName name="seventyone">Pic!#REF!</definedName>
    <definedName name="seventyseven">Pic!#REF!</definedName>
    <definedName name="seventysix">Pic!$B$50</definedName>
    <definedName name="seventythree">Pic!$B$49</definedName>
    <definedName name="seventytwo">Pic!#REF!</definedName>
    <definedName name="sisteen">Pic!$B$18</definedName>
    <definedName name="six">Pic!$B$8</definedName>
    <definedName name="sixteen">Pic!$B$18</definedName>
    <definedName name="sixty">Pic!#REF!</definedName>
    <definedName name="sixtyeight">Pic!#REF!</definedName>
    <definedName name="sixtyfive">Pic!#REF!</definedName>
    <definedName name="sixtyfour">Pic!#REF!</definedName>
    <definedName name="sixtynine">Pic!$B$47</definedName>
    <definedName name="sixtyone">Pic!#REF!</definedName>
    <definedName name="sixtyseven">Pic!#REF!</definedName>
    <definedName name="sixtysix">Pic!$B$46</definedName>
    <definedName name="sixtythree">Pic!$B$45</definedName>
    <definedName name="sixtytwo">Pic!$B$44</definedName>
    <definedName name="ten">Pic!$B$12</definedName>
    <definedName name="thirteen">Pic!$B$15</definedName>
    <definedName name="thirty">Pic!#REF!</definedName>
    <definedName name="thirtyeight">Pic!#REF!</definedName>
    <definedName name="thirtyfive">Pic!#REF!</definedName>
    <definedName name="thirtyfour">Pic!$B$32</definedName>
    <definedName name="thirtynine">Pic!#REF!</definedName>
    <definedName name="thirtyone">Pic!#REF!</definedName>
    <definedName name="thirtyseven">Pic!$B$33</definedName>
    <definedName name="thirtysix">Pic!#REF!</definedName>
    <definedName name="thirtythree">Pic!$B$31</definedName>
    <definedName name="thirtytwo">Pic!$B$30</definedName>
    <definedName name="three">Pic!$B$5</definedName>
    <definedName name="twelve">Pic!$B$14</definedName>
    <definedName name="twenty">Pic!$B$22</definedName>
    <definedName name="twentyeight">Pic!#REF!</definedName>
    <definedName name="twentyfive">Pic!$B$27</definedName>
    <definedName name="twentyfour">Pic!$B$26</definedName>
    <definedName name="twentynine">Pic!$B$29</definedName>
    <definedName name="twentyone">Pic!$B$23</definedName>
    <definedName name="twentyseven">Pic!#REF!</definedName>
    <definedName name="twentysix">Pic!$B$28</definedName>
    <definedName name="twentythree">Pic!$B$25</definedName>
    <definedName name="twentytwo">Pic!$B$24</definedName>
    <definedName name="two">Pic!$B$4</definedName>
    <definedName name="twoeight">Pic!$B$112</definedName>
    <definedName name="twoeighteen">Pic!#REF!</definedName>
    <definedName name="twoeleven">Pic!#REF!</definedName>
    <definedName name="twofifteen">Pic!#REF!</definedName>
    <definedName name="twofifty">Pic!$B$136</definedName>
    <definedName name="twofiftyeight">Pic!$B$144</definedName>
    <definedName name="twofiftyfive">Pic!$B$141</definedName>
    <definedName name="twofiftyfour">Pic!$B$140</definedName>
    <definedName name="twofiftynine">Pic!$B$145</definedName>
    <definedName name="twofiftyone">Pic!$B$137</definedName>
    <definedName name="twofiftyseven">Pic!$B$143</definedName>
    <definedName name="twofiftysix">Pic!$B$142</definedName>
    <definedName name="twofiftythree">Pic!$B$139</definedName>
    <definedName name="twofiftytwo">Pic!$B$138</definedName>
    <definedName name="twofive">Pic!$B$111</definedName>
    <definedName name="twoforty">Pic!$B$126</definedName>
    <definedName name="twofortyeight">Pic!$B$134</definedName>
    <definedName name="twofortyfive">Pic!$B$131</definedName>
    <definedName name="twofortyfour">Pic!$B$130</definedName>
    <definedName name="twofortynine">Pic!$B$135</definedName>
    <definedName name="twofortyone">Pic!$B$127</definedName>
    <definedName name="twofortyseven">Pic!$B$133</definedName>
    <definedName name="twofortysix">Pic!$B$132</definedName>
    <definedName name="twofortythree">Pic!$B$129</definedName>
    <definedName name="twofortytwo">Pic!$B$128</definedName>
    <definedName name="twofour">Pic!$B$110</definedName>
    <definedName name="twofourteen">Pic!#REF!</definedName>
    <definedName name="twohundred">Pic!$B$108</definedName>
    <definedName name="twonine">Pic!$B$113</definedName>
    <definedName name="twonineteen">Pic!#REF!</definedName>
    <definedName name="twoone">Pic!$B$109</definedName>
    <definedName name="twoseven">Pic!#REF!</definedName>
    <definedName name="twoseventeen">Pic!$B$117</definedName>
    <definedName name="twosix">Pic!#REF!</definedName>
    <definedName name="twosixteen">Pic!$B$116</definedName>
    <definedName name="twosixty">Pic!$B$146</definedName>
    <definedName name="twosixtyone">Pic!$B$147</definedName>
    <definedName name="twoten">Pic!#REF!</definedName>
    <definedName name="twothirteen">Pic!$B$115</definedName>
    <definedName name="twothirty">Pic!#REF!</definedName>
    <definedName name="twothirtyeight">Pic!#REF!</definedName>
    <definedName name="twothirtyfive">Pic!#REF!</definedName>
    <definedName name="twothirtyfour">Pic!$B$124</definedName>
    <definedName name="twothirtynine">Pic!#REF!</definedName>
    <definedName name="twothirtyone">Pic!$B$123</definedName>
    <definedName name="twothirtyseven">Pic!$B$125</definedName>
    <definedName name="twothirtysix">Pic!#REF!</definedName>
    <definedName name="twothirtythree">Pic!#REF!</definedName>
    <definedName name="twothirtytwo">Pic!#REF!</definedName>
    <definedName name="twothree">Pic!#REF!</definedName>
    <definedName name="twotwelve">Pic!$B$114</definedName>
    <definedName name="twotwenty">Pic!$B$118</definedName>
    <definedName name="twotwentyeight">Pic!$B$122</definedName>
    <definedName name="twotwentyfive">Pic!$B$121</definedName>
    <definedName name="twotwentyfour">Pic!$B$120</definedName>
    <definedName name="twotwentynine">Pic!#REF!</definedName>
    <definedName name="twotwentyone">Pic!$B$119</definedName>
    <definedName name="twotwentyseven">Pic!#REF!</definedName>
    <definedName name="twotwentysix">Pic!#REF!</definedName>
    <definedName name="twotwentythree">Pic!#REF!</definedName>
    <definedName name="twotwentytwo">Pic!#REF!</definedName>
    <definedName name="twotwo">Pic!#REF!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5" l="1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3" i="15"/>
  <c r="K185" i="5"/>
  <c r="L204" i="5"/>
  <c r="I6" i="4" l="1"/>
  <c r="W4" i="15" l="1"/>
  <c r="W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1" i="15"/>
  <c r="W52" i="15"/>
  <c r="W53" i="15"/>
  <c r="W54" i="15"/>
  <c r="W55" i="15"/>
  <c r="W56" i="15"/>
  <c r="W57" i="15"/>
  <c r="W58" i="15"/>
  <c r="W59" i="15"/>
  <c r="W60" i="15"/>
  <c r="W61" i="15"/>
  <c r="W62" i="15"/>
  <c r="W63" i="15"/>
  <c r="W64" i="15"/>
  <c r="W65" i="15"/>
  <c r="W66" i="15"/>
  <c r="W67" i="15"/>
  <c r="W68" i="15"/>
  <c r="W69" i="15"/>
  <c r="W70" i="15"/>
  <c r="W71" i="15"/>
  <c r="W72" i="15"/>
  <c r="W73" i="15"/>
  <c r="W74" i="15"/>
  <c r="W75" i="15"/>
  <c r="W76" i="15"/>
  <c r="W77" i="15"/>
  <c r="W78" i="15"/>
  <c r="W79" i="15"/>
  <c r="W80" i="15"/>
  <c r="W81" i="15"/>
  <c r="W82" i="15"/>
  <c r="W83" i="15"/>
  <c r="W84" i="15"/>
  <c r="W85" i="15"/>
  <c r="W86" i="15"/>
  <c r="W87" i="15"/>
  <c r="W88" i="15"/>
  <c r="W89" i="15"/>
  <c r="W90" i="15"/>
  <c r="W91" i="15"/>
  <c r="W92" i="15"/>
  <c r="W93" i="15"/>
  <c r="W94" i="15"/>
  <c r="W95" i="15"/>
  <c r="W96" i="15"/>
  <c r="W97" i="15"/>
  <c r="W3" i="15"/>
  <c r="D1" i="14" l="1"/>
  <c r="E1" i="14"/>
  <c r="F1" i="14"/>
  <c r="G1" i="14"/>
  <c r="H1" i="14"/>
  <c r="I1" i="14"/>
  <c r="J1" i="14"/>
  <c r="K1" i="14"/>
  <c r="L1" i="14"/>
  <c r="M1" i="14"/>
  <c r="N1" i="14"/>
  <c r="O1" i="14"/>
  <c r="P1" i="14"/>
  <c r="Q1" i="14"/>
  <c r="R1" i="14"/>
  <c r="S1" i="14"/>
  <c r="T1" i="14"/>
  <c r="U1" i="14"/>
  <c r="V1" i="14"/>
  <c r="W1" i="14"/>
  <c r="X1" i="14"/>
  <c r="Y1" i="14"/>
  <c r="Z1" i="14"/>
  <c r="AA1" i="14"/>
  <c r="AB1" i="14"/>
  <c r="AC1" i="14"/>
  <c r="AD1" i="14"/>
  <c r="AE1" i="14"/>
  <c r="AF1" i="14"/>
  <c r="AG1" i="14"/>
  <c r="AH1" i="14"/>
  <c r="AI1" i="14"/>
  <c r="AJ1" i="14"/>
  <c r="AK1" i="14"/>
  <c r="AL1" i="14"/>
  <c r="AM1" i="14"/>
  <c r="AN1" i="14"/>
  <c r="AO1" i="14"/>
  <c r="AP1" i="14"/>
  <c r="AQ1" i="14"/>
  <c r="AR1" i="14"/>
  <c r="AS1" i="14"/>
  <c r="AT1" i="14"/>
  <c r="AU1" i="14"/>
  <c r="AV1" i="14"/>
  <c r="AW1" i="14"/>
  <c r="AX1" i="14"/>
  <c r="AY1" i="14"/>
  <c r="AZ1" i="14"/>
  <c r="BA1" i="14"/>
  <c r="BB1" i="14"/>
  <c r="BC1" i="14"/>
  <c r="BD1" i="14"/>
  <c r="BE1" i="14"/>
  <c r="BF1" i="14"/>
  <c r="BG1" i="14"/>
  <c r="BH1" i="14"/>
  <c r="BI1" i="14"/>
  <c r="BJ1" i="14"/>
  <c r="BK1" i="14"/>
  <c r="BL1" i="14"/>
  <c r="BM1" i="14"/>
  <c r="BN1" i="14"/>
  <c r="BO1" i="14"/>
  <c r="BP1" i="14"/>
  <c r="BQ1" i="14"/>
  <c r="BR1" i="14"/>
  <c r="BS1" i="14"/>
  <c r="BT1" i="14"/>
  <c r="BU1" i="14"/>
  <c r="BV1" i="14"/>
  <c r="BW1" i="14"/>
  <c r="BX1" i="14"/>
  <c r="BY1" i="14"/>
  <c r="BZ1" i="14"/>
  <c r="CA1" i="14"/>
  <c r="CB1" i="14"/>
  <c r="CC1" i="14"/>
  <c r="CD1" i="14"/>
  <c r="CE1" i="14"/>
  <c r="CF1" i="14"/>
  <c r="CG1" i="14"/>
  <c r="CH1" i="14"/>
  <c r="CI1" i="14"/>
  <c r="CJ1" i="14"/>
  <c r="CK1" i="14"/>
  <c r="CL1" i="14"/>
  <c r="CM1" i="14"/>
  <c r="CN1" i="14"/>
  <c r="CO1" i="14"/>
  <c r="CP1" i="14"/>
  <c r="CQ1" i="14"/>
  <c r="CR1" i="14"/>
  <c r="CS1" i="14"/>
  <c r="C1" i="14"/>
  <c r="CT3" i="14"/>
  <c r="CT8" i="14" l="1"/>
  <c r="CT179" i="14"/>
  <c r="CT175" i="14"/>
  <c r="CT171" i="14"/>
  <c r="CT167" i="14"/>
  <c r="CT163" i="14"/>
  <c r="CT159" i="14"/>
  <c r="CT155" i="14"/>
  <c r="CT151" i="14"/>
  <c r="CT147" i="14"/>
  <c r="CT143" i="14"/>
  <c r="CT139" i="14"/>
  <c r="CT135" i="14"/>
  <c r="CT131" i="14"/>
  <c r="CT127" i="14"/>
  <c r="CT123" i="14"/>
  <c r="CT119" i="14"/>
  <c r="CT115" i="14"/>
  <c r="CT111" i="14"/>
  <c r="CT107" i="14"/>
  <c r="CT103" i="14"/>
  <c r="CT99" i="14"/>
  <c r="CT95" i="14"/>
  <c r="CT91" i="14"/>
  <c r="CT87" i="14"/>
  <c r="CT83" i="14"/>
  <c r="CT79" i="14"/>
  <c r="CT75" i="14"/>
  <c r="CT71" i="14"/>
  <c r="CT67" i="14"/>
  <c r="CT63" i="14"/>
  <c r="CT59" i="14"/>
  <c r="CT55" i="14"/>
  <c r="CT51" i="14"/>
  <c r="CT47" i="14"/>
  <c r="CT43" i="14"/>
  <c r="CT39" i="14"/>
  <c r="CT35" i="14"/>
  <c r="CT31" i="14"/>
  <c r="CT27" i="14"/>
  <c r="CT23" i="14"/>
  <c r="CT19" i="14"/>
  <c r="CT15" i="14"/>
  <c r="CT11" i="14"/>
  <c r="CT7" i="14"/>
  <c r="CT178" i="14"/>
  <c r="CT174" i="14"/>
  <c r="CT170" i="14"/>
  <c r="CT166" i="14"/>
  <c r="CT162" i="14"/>
  <c r="CT158" i="14"/>
  <c r="CT154" i="14"/>
  <c r="CT150" i="14"/>
  <c r="CT146" i="14"/>
  <c r="CT142" i="14"/>
  <c r="CT138" i="14"/>
  <c r="CT134" i="14"/>
  <c r="CT130" i="14"/>
  <c r="CT126" i="14"/>
  <c r="CT122" i="14"/>
  <c r="CT118" i="14"/>
  <c r="CT114" i="14"/>
  <c r="CT110" i="14"/>
  <c r="CT106" i="14"/>
  <c r="CT102" i="14"/>
  <c r="CT98" i="14"/>
  <c r="CT94" i="14"/>
  <c r="CT90" i="14"/>
  <c r="CT86" i="14"/>
  <c r="CT82" i="14"/>
  <c r="CT78" i="14"/>
  <c r="CT74" i="14"/>
  <c r="CT70" i="14"/>
  <c r="CT66" i="14"/>
  <c r="CT62" i="14"/>
  <c r="CT58" i="14"/>
  <c r="CT54" i="14"/>
  <c r="CT50" i="14"/>
  <c r="CT46" i="14"/>
  <c r="CT42" i="14"/>
  <c r="CT38" i="14"/>
  <c r="CT34" i="14"/>
  <c r="CT30" i="14"/>
  <c r="CT26" i="14"/>
  <c r="CT22" i="14"/>
  <c r="CT18" i="14"/>
  <c r="CT14" i="14"/>
  <c r="CT10" i="14"/>
  <c r="CT6" i="14"/>
  <c r="CT177" i="14"/>
  <c r="CT173" i="14"/>
  <c r="CT169" i="14"/>
  <c r="CT165" i="14"/>
  <c r="CT161" i="14"/>
  <c r="CT157" i="14"/>
  <c r="CT153" i="14"/>
  <c r="CT149" i="14"/>
  <c r="CT145" i="14"/>
  <c r="CT141" i="14"/>
  <c r="CT137" i="14"/>
  <c r="CT133" i="14"/>
  <c r="CT129" i="14"/>
  <c r="CT125" i="14"/>
  <c r="CT121" i="14"/>
  <c r="CT117" i="14"/>
  <c r="CT113" i="14"/>
  <c r="CT109" i="14"/>
  <c r="CT105" i="14"/>
  <c r="CT101" i="14"/>
  <c r="CT97" i="14"/>
  <c r="CT93" i="14"/>
  <c r="CT89" i="14"/>
  <c r="CT85" i="14"/>
  <c r="CT81" i="14"/>
  <c r="CT77" i="14"/>
  <c r="CT73" i="14"/>
  <c r="CT69" i="14"/>
  <c r="CT65" i="14"/>
  <c r="CT61" i="14"/>
  <c r="CT57" i="14"/>
  <c r="CT53" i="14"/>
  <c r="CT49" i="14"/>
  <c r="CT45" i="14"/>
  <c r="CT41" i="14"/>
  <c r="CT37" i="14"/>
  <c r="CT33" i="14"/>
  <c r="CT29" i="14"/>
  <c r="CT25" i="14"/>
  <c r="CT21" i="14"/>
  <c r="CT17" i="14"/>
  <c r="CT13" i="14"/>
  <c r="CT9" i="14"/>
  <c r="CT5" i="14"/>
  <c r="CT4" i="14"/>
  <c r="CT176" i="14"/>
  <c r="CT172" i="14"/>
  <c r="CT168" i="14"/>
  <c r="CT164" i="14"/>
  <c r="CT160" i="14"/>
  <c r="CT156" i="14"/>
  <c r="CT152" i="14"/>
  <c r="CT148" i="14"/>
  <c r="CT144" i="14"/>
  <c r="CT140" i="14"/>
  <c r="CT136" i="14"/>
  <c r="CT132" i="14"/>
  <c r="CT128" i="14"/>
  <c r="CT124" i="14"/>
  <c r="CT120" i="14"/>
  <c r="CT116" i="14"/>
  <c r="CT112" i="14"/>
  <c r="CT108" i="14"/>
  <c r="CT104" i="14"/>
  <c r="CT100" i="14"/>
  <c r="CT96" i="14"/>
  <c r="CT92" i="14"/>
  <c r="CT88" i="14"/>
  <c r="CT84" i="14"/>
  <c r="CT80" i="14"/>
  <c r="CT76" i="14"/>
  <c r="CT72" i="14"/>
  <c r="CT68" i="14"/>
  <c r="CT64" i="14"/>
  <c r="CT60" i="14"/>
  <c r="CT56" i="14"/>
  <c r="CT52" i="14"/>
  <c r="CT48" i="14"/>
  <c r="CT44" i="14"/>
  <c r="CT40" i="14"/>
  <c r="CT36" i="14"/>
  <c r="CT32" i="14"/>
  <c r="CT28" i="14"/>
  <c r="CT24" i="14"/>
  <c r="CT20" i="14"/>
  <c r="CT16" i="14"/>
  <c r="CT12" i="14"/>
  <c r="H4" i="4" l="1"/>
  <c r="L215" i="5"/>
  <c r="L216" i="5"/>
  <c r="L217" i="5"/>
  <c r="R215" i="5"/>
  <c r="R216" i="5"/>
  <c r="R217" i="5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P181" i="14"/>
  <c r="Q181" i="14"/>
  <c r="R181" i="14"/>
  <c r="S181" i="14"/>
  <c r="T181" i="14"/>
  <c r="U181" i="14"/>
  <c r="V181" i="14"/>
  <c r="W181" i="14"/>
  <c r="X181" i="14"/>
  <c r="Y181" i="14"/>
  <c r="Z181" i="14"/>
  <c r="AA181" i="14"/>
  <c r="AB181" i="14"/>
  <c r="AC181" i="14"/>
  <c r="AD181" i="14"/>
  <c r="AE181" i="14"/>
  <c r="AF181" i="14"/>
  <c r="AG181" i="14"/>
  <c r="AH181" i="14"/>
  <c r="AI181" i="14"/>
  <c r="AJ181" i="14"/>
  <c r="AK181" i="14"/>
  <c r="AL181" i="14"/>
  <c r="AM181" i="14"/>
  <c r="AN181" i="14"/>
  <c r="AO181" i="14"/>
  <c r="AP181" i="14"/>
  <c r="AQ181" i="14"/>
  <c r="AR181" i="14"/>
  <c r="AS181" i="14"/>
  <c r="AT181" i="14"/>
  <c r="AU181" i="14"/>
  <c r="AV181" i="14"/>
  <c r="AW181" i="14"/>
  <c r="AX181" i="14"/>
  <c r="AY181" i="14"/>
  <c r="AZ181" i="14"/>
  <c r="BA181" i="14"/>
  <c r="BB181" i="14"/>
  <c r="BC181" i="14"/>
  <c r="BD181" i="14"/>
  <c r="BE181" i="14"/>
  <c r="BF181" i="14"/>
  <c r="BG181" i="14"/>
  <c r="BH181" i="14"/>
  <c r="BI181" i="14"/>
  <c r="BJ181" i="14"/>
  <c r="BK181" i="14"/>
  <c r="BL181" i="14"/>
  <c r="BM181" i="14"/>
  <c r="BN181" i="14"/>
  <c r="BO181" i="14"/>
  <c r="BP181" i="14"/>
  <c r="BQ181" i="14"/>
  <c r="BR181" i="14"/>
  <c r="BS181" i="14"/>
  <c r="BT181" i="14"/>
  <c r="BU181" i="14"/>
  <c r="BV181" i="14"/>
  <c r="BW181" i="14"/>
  <c r="BX181" i="14"/>
  <c r="BY181" i="14"/>
  <c r="BZ181" i="14"/>
  <c r="CA181" i="14"/>
  <c r="CB181" i="14"/>
  <c r="CC181" i="14"/>
  <c r="CD181" i="14"/>
  <c r="CE181" i="14"/>
  <c r="CF181" i="14"/>
  <c r="CG181" i="14"/>
  <c r="CH181" i="14"/>
  <c r="CI181" i="14"/>
  <c r="CJ181" i="14"/>
  <c r="CK181" i="14"/>
  <c r="CL181" i="14"/>
  <c r="CM181" i="14"/>
  <c r="CN181" i="14"/>
  <c r="CO181" i="14"/>
  <c r="CP181" i="14"/>
  <c r="CQ181" i="14"/>
  <c r="CR181" i="14"/>
  <c r="CS181" i="14"/>
  <c r="L90" i="15"/>
  <c r="K90" i="15" s="1"/>
  <c r="J90" i="15" s="1"/>
  <c r="I90" i="15" s="1"/>
  <c r="L97" i="15"/>
  <c r="K97" i="15" s="1"/>
  <c r="J97" i="15" s="1"/>
  <c r="I97" i="15" s="1"/>
  <c r="C359" i="5"/>
  <c r="K197" i="5"/>
  <c r="R197" i="5"/>
  <c r="L96" i="15"/>
  <c r="K96" i="15" s="1"/>
  <c r="J96" i="15" s="1"/>
  <c r="I96" i="15" s="1"/>
  <c r="L89" i="15"/>
  <c r="K89" i="15" s="1"/>
  <c r="J89" i="15" s="1"/>
  <c r="I89" i="15" s="1"/>
  <c r="L84" i="15"/>
  <c r="K84" i="15" s="1"/>
  <c r="J84" i="15" s="1"/>
  <c r="I84" i="15" s="1"/>
  <c r="L85" i="15"/>
  <c r="K85" i="15" s="1"/>
  <c r="J85" i="15" s="1"/>
  <c r="I85" i="15" s="1"/>
  <c r="L86" i="15"/>
  <c r="K86" i="15" s="1"/>
  <c r="J86" i="15" s="1"/>
  <c r="I86" i="15" s="1"/>
  <c r="L87" i="15"/>
  <c r="K87" i="15" s="1"/>
  <c r="J87" i="15" s="1"/>
  <c r="I87" i="15" s="1"/>
  <c r="L88" i="15"/>
  <c r="K88" i="15" s="1"/>
  <c r="J88" i="15" s="1"/>
  <c r="I88" i="15" s="1"/>
  <c r="L91" i="15"/>
  <c r="K91" i="15" s="1"/>
  <c r="J91" i="15" s="1"/>
  <c r="I91" i="15" s="1"/>
  <c r="L92" i="15"/>
  <c r="K92" i="15" s="1"/>
  <c r="J92" i="15" s="1"/>
  <c r="I92" i="15" s="1"/>
  <c r="L93" i="15"/>
  <c r="K93" i="15" s="1"/>
  <c r="J93" i="15" s="1"/>
  <c r="I93" i="15" s="1"/>
  <c r="L94" i="15"/>
  <c r="K94" i="15" s="1"/>
  <c r="J94" i="15" s="1"/>
  <c r="I94" i="15" s="1"/>
  <c r="L95" i="15"/>
  <c r="K95" i="15" s="1"/>
  <c r="J95" i="15" s="1"/>
  <c r="I95" i="15" s="1"/>
  <c r="L265" i="5"/>
  <c r="L266" i="5"/>
  <c r="R265" i="5"/>
  <c r="R266" i="5"/>
  <c r="R246" i="5"/>
  <c r="R247" i="5"/>
  <c r="L246" i="5"/>
  <c r="L247" i="5"/>
  <c r="R229" i="5"/>
  <c r="R230" i="5"/>
  <c r="L229" i="5"/>
  <c r="L230" i="5"/>
  <c r="R214" i="5"/>
  <c r="L214" i="5"/>
  <c r="K194" i="5"/>
  <c r="K195" i="5"/>
  <c r="K196" i="5"/>
  <c r="R194" i="5"/>
  <c r="R195" i="5"/>
  <c r="R196" i="5"/>
  <c r="L213" i="5"/>
  <c r="R213" i="5"/>
  <c r="L83" i="15"/>
  <c r="K83" i="15" s="1"/>
  <c r="J83" i="15" s="1"/>
  <c r="I83" i="15" s="1"/>
  <c r="K193" i="5"/>
  <c r="R193" i="5"/>
  <c r="L212" i="5"/>
  <c r="R212" i="5"/>
  <c r="K341" i="5"/>
  <c r="L341" i="5"/>
  <c r="R341" i="5"/>
  <c r="K313" i="5"/>
  <c r="L313" i="5"/>
  <c r="K314" i="5"/>
  <c r="L314" i="5"/>
  <c r="R313" i="5"/>
  <c r="R314" i="5"/>
  <c r="K296" i="5"/>
  <c r="L296" i="5"/>
  <c r="K297" i="5"/>
  <c r="L297" i="5"/>
  <c r="R296" i="5"/>
  <c r="R297" i="5"/>
  <c r="R228" i="5"/>
  <c r="L228" i="5"/>
  <c r="R211" i="5"/>
  <c r="L211" i="5"/>
  <c r="R192" i="5"/>
  <c r="K192" i="5"/>
  <c r="L74" i="15"/>
  <c r="K74" i="15" s="1"/>
  <c r="J74" i="15" s="1"/>
  <c r="I74" i="15" s="1"/>
  <c r="L75" i="15"/>
  <c r="K75" i="15" s="1"/>
  <c r="J75" i="15" s="1"/>
  <c r="I75" i="15" s="1"/>
  <c r="L76" i="15"/>
  <c r="K76" i="15" s="1"/>
  <c r="J76" i="15" s="1"/>
  <c r="I76" i="15" s="1"/>
  <c r="L77" i="15"/>
  <c r="K77" i="15" s="1"/>
  <c r="J77" i="15" s="1"/>
  <c r="I77" i="15" s="1"/>
  <c r="L78" i="15"/>
  <c r="K78" i="15" s="1"/>
  <c r="J78" i="15" s="1"/>
  <c r="I78" i="15" s="1"/>
  <c r="L79" i="15"/>
  <c r="K79" i="15" s="1"/>
  <c r="J79" i="15" s="1"/>
  <c r="I79" i="15" s="1"/>
  <c r="L80" i="15"/>
  <c r="K80" i="15" s="1"/>
  <c r="J80" i="15" s="1"/>
  <c r="I80" i="15" s="1"/>
  <c r="L81" i="15"/>
  <c r="K81" i="15" s="1"/>
  <c r="J81" i="15" s="1"/>
  <c r="I81" i="15" s="1"/>
  <c r="L82" i="15"/>
  <c r="K82" i="15" s="1"/>
  <c r="J82" i="15" s="1"/>
  <c r="I82" i="15" s="1"/>
  <c r="L11" i="15"/>
  <c r="K11" i="15" s="1"/>
  <c r="J11" i="15" s="1"/>
  <c r="I11" i="15" s="1"/>
  <c r="L4" i="15"/>
  <c r="K4" i="15" s="1"/>
  <c r="J4" i="15" s="1"/>
  <c r="I4" i="15" s="1"/>
  <c r="L5" i="15"/>
  <c r="K5" i="15" s="1"/>
  <c r="J5" i="15" s="1"/>
  <c r="I5" i="15" s="1"/>
  <c r="L6" i="15"/>
  <c r="K6" i="15" s="1"/>
  <c r="J6" i="15" s="1"/>
  <c r="I6" i="15" s="1"/>
  <c r="L7" i="15"/>
  <c r="K7" i="15" s="1"/>
  <c r="J7" i="15" s="1"/>
  <c r="I7" i="15" s="1"/>
  <c r="L8" i="15"/>
  <c r="K8" i="15" s="1"/>
  <c r="J8" i="15" s="1"/>
  <c r="I8" i="15" s="1"/>
  <c r="L9" i="15"/>
  <c r="K9" i="15" s="1"/>
  <c r="J9" i="15" s="1"/>
  <c r="I9" i="15" s="1"/>
  <c r="L10" i="15"/>
  <c r="K10" i="15" s="1"/>
  <c r="J10" i="15" s="1"/>
  <c r="I10" i="15" s="1"/>
  <c r="L12" i="15"/>
  <c r="K12" i="15" s="1"/>
  <c r="J12" i="15" s="1"/>
  <c r="I12" i="15" s="1"/>
  <c r="L13" i="15"/>
  <c r="K13" i="15" s="1"/>
  <c r="J13" i="15" s="1"/>
  <c r="I13" i="15" s="1"/>
  <c r="L14" i="15"/>
  <c r="K14" i="15" s="1"/>
  <c r="J14" i="15" s="1"/>
  <c r="I14" i="15" s="1"/>
  <c r="L15" i="15"/>
  <c r="K15" i="15" s="1"/>
  <c r="J15" i="15" s="1"/>
  <c r="I15" i="15" s="1"/>
  <c r="L16" i="15"/>
  <c r="K16" i="15" s="1"/>
  <c r="J16" i="15" s="1"/>
  <c r="I16" i="15" s="1"/>
  <c r="L17" i="15"/>
  <c r="K17" i="15" s="1"/>
  <c r="J17" i="15" s="1"/>
  <c r="I17" i="15" s="1"/>
  <c r="L18" i="15"/>
  <c r="K18" i="15" s="1"/>
  <c r="J18" i="15" s="1"/>
  <c r="I18" i="15" s="1"/>
  <c r="L19" i="15"/>
  <c r="K19" i="15" s="1"/>
  <c r="J19" i="15" s="1"/>
  <c r="I19" i="15" s="1"/>
  <c r="L20" i="15"/>
  <c r="K20" i="15" s="1"/>
  <c r="J20" i="15" s="1"/>
  <c r="I20" i="15" s="1"/>
  <c r="L21" i="15"/>
  <c r="K21" i="15" s="1"/>
  <c r="J21" i="15" s="1"/>
  <c r="I21" i="15" s="1"/>
  <c r="L22" i="15"/>
  <c r="K22" i="15" s="1"/>
  <c r="J22" i="15" s="1"/>
  <c r="I22" i="15" s="1"/>
  <c r="L23" i="15"/>
  <c r="K23" i="15" s="1"/>
  <c r="J23" i="15" s="1"/>
  <c r="I23" i="15" s="1"/>
  <c r="L24" i="15"/>
  <c r="K24" i="15" s="1"/>
  <c r="J24" i="15" s="1"/>
  <c r="I24" i="15" s="1"/>
  <c r="L25" i="15"/>
  <c r="K25" i="15" s="1"/>
  <c r="J25" i="15" s="1"/>
  <c r="I25" i="15" s="1"/>
  <c r="L26" i="15"/>
  <c r="K26" i="15" s="1"/>
  <c r="J26" i="15" s="1"/>
  <c r="I26" i="15" s="1"/>
  <c r="L27" i="15"/>
  <c r="K27" i="15" s="1"/>
  <c r="J27" i="15" s="1"/>
  <c r="I27" i="15" s="1"/>
  <c r="L28" i="15"/>
  <c r="K28" i="15" s="1"/>
  <c r="J28" i="15" s="1"/>
  <c r="I28" i="15" s="1"/>
  <c r="L29" i="15"/>
  <c r="K29" i="15" s="1"/>
  <c r="J29" i="15" s="1"/>
  <c r="I29" i="15" s="1"/>
  <c r="L30" i="15"/>
  <c r="K30" i="15" s="1"/>
  <c r="J30" i="15" s="1"/>
  <c r="I30" i="15" s="1"/>
  <c r="L31" i="15"/>
  <c r="K31" i="15" s="1"/>
  <c r="J31" i="15" s="1"/>
  <c r="I31" i="15" s="1"/>
  <c r="L32" i="15"/>
  <c r="K32" i="15" s="1"/>
  <c r="J32" i="15" s="1"/>
  <c r="I32" i="15" s="1"/>
  <c r="L33" i="15"/>
  <c r="K33" i="15" s="1"/>
  <c r="J33" i="15" s="1"/>
  <c r="I33" i="15" s="1"/>
  <c r="L34" i="15"/>
  <c r="K34" i="15" s="1"/>
  <c r="J34" i="15" s="1"/>
  <c r="I34" i="15" s="1"/>
  <c r="L35" i="15"/>
  <c r="K35" i="15" s="1"/>
  <c r="J35" i="15" s="1"/>
  <c r="I35" i="15" s="1"/>
  <c r="L36" i="15"/>
  <c r="K36" i="15" s="1"/>
  <c r="J36" i="15" s="1"/>
  <c r="I36" i="15" s="1"/>
  <c r="L37" i="15"/>
  <c r="K37" i="15" s="1"/>
  <c r="J37" i="15" s="1"/>
  <c r="I37" i="15" s="1"/>
  <c r="L38" i="15"/>
  <c r="K38" i="15" s="1"/>
  <c r="J38" i="15" s="1"/>
  <c r="I38" i="15" s="1"/>
  <c r="L39" i="15"/>
  <c r="K39" i="15" s="1"/>
  <c r="J39" i="15" s="1"/>
  <c r="I39" i="15" s="1"/>
  <c r="L40" i="15"/>
  <c r="K40" i="15" s="1"/>
  <c r="J40" i="15" s="1"/>
  <c r="I40" i="15" s="1"/>
  <c r="L41" i="15"/>
  <c r="K41" i="15" s="1"/>
  <c r="J41" i="15" s="1"/>
  <c r="I41" i="15" s="1"/>
  <c r="L42" i="15"/>
  <c r="K42" i="15" s="1"/>
  <c r="J42" i="15" s="1"/>
  <c r="I42" i="15" s="1"/>
  <c r="L43" i="15"/>
  <c r="K43" i="15" s="1"/>
  <c r="J43" i="15" s="1"/>
  <c r="I43" i="15" s="1"/>
  <c r="L44" i="15"/>
  <c r="K44" i="15" s="1"/>
  <c r="J44" i="15" s="1"/>
  <c r="I44" i="15" s="1"/>
  <c r="L45" i="15"/>
  <c r="K45" i="15" s="1"/>
  <c r="J45" i="15" s="1"/>
  <c r="I45" i="15" s="1"/>
  <c r="L46" i="15"/>
  <c r="K46" i="15" s="1"/>
  <c r="J46" i="15" s="1"/>
  <c r="I46" i="15" s="1"/>
  <c r="L47" i="15"/>
  <c r="K47" i="15" s="1"/>
  <c r="J47" i="15" s="1"/>
  <c r="I47" i="15" s="1"/>
  <c r="L48" i="15"/>
  <c r="K48" i="15" s="1"/>
  <c r="J48" i="15" s="1"/>
  <c r="I48" i="15" s="1"/>
  <c r="L49" i="15"/>
  <c r="K49" i="15" s="1"/>
  <c r="J49" i="15" s="1"/>
  <c r="I49" i="15" s="1"/>
  <c r="L50" i="15"/>
  <c r="K50" i="15" s="1"/>
  <c r="J50" i="15" s="1"/>
  <c r="I50" i="15" s="1"/>
  <c r="L51" i="15"/>
  <c r="K51" i="15" s="1"/>
  <c r="J51" i="15" s="1"/>
  <c r="I51" i="15" s="1"/>
  <c r="L52" i="15"/>
  <c r="K52" i="15" s="1"/>
  <c r="J52" i="15" s="1"/>
  <c r="I52" i="15" s="1"/>
  <c r="L53" i="15"/>
  <c r="K53" i="15" s="1"/>
  <c r="J53" i="15" s="1"/>
  <c r="I53" i="15" s="1"/>
  <c r="L54" i="15"/>
  <c r="K54" i="15" s="1"/>
  <c r="J54" i="15" s="1"/>
  <c r="I54" i="15" s="1"/>
  <c r="L55" i="15"/>
  <c r="K55" i="15" s="1"/>
  <c r="J55" i="15" s="1"/>
  <c r="I55" i="15" s="1"/>
  <c r="L56" i="15"/>
  <c r="K56" i="15" s="1"/>
  <c r="J56" i="15" s="1"/>
  <c r="I56" i="15" s="1"/>
  <c r="L57" i="15"/>
  <c r="K57" i="15" s="1"/>
  <c r="J57" i="15" s="1"/>
  <c r="I57" i="15" s="1"/>
  <c r="L58" i="15"/>
  <c r="K58" i="15" s="1"/>
  <c r="J58" i="15" s="1"/>
  <c r="I58" i="15" s="1"/>
  <c r="L59" i="15"/>
  <c r="K59" i="15" s="1"/>
  <c r="J59" i="15" s="1"/>
  <c r="I59" i="15" s="1"/>
  <c r="L60" i="15"/>
  <c r="K60" i="15" s="1"/>
  <c r="J60" i="15" s="1"/>
  <c r="I60" i="15" s="1"/>
  <c r="L61" i="15"/>
  <c r="K61" i="15" s="1"/>
  <c r="J61" i="15" s="1"/>
  <c r="I61" i="15" s="1"/>
  <c r="L62" i="15"/>
  <c r="K62" i="15" s="1"/>
  <c r="J62" i="15" s="1"/>
  <c r="I62" i="15" s="1"/>
  <c r="L63" i="15"/>
  <c r="K63" i="15" s="1"/>
  <c r="J63" i="15" s="1"/>
  <c r="I63" i="15" s="1"/>
  <c r="L64" i="15"/>
  <c r="K64" i="15" s="1"/>
  <c r="J64" i="15" s="1"/>
  <c r="I64" i="15" s="1"/>
  <c r="L65" i="15"/>
  <c r="K65" i="15" s="1"/>
  <c r="J65" i="15" s="1"/>
  <c r="I65" i="15" s="1"/>
  <c r="L66" i="15"/>
  <c r="K66" i="15" s="1"/>
  <c r="J66" i="15" s="1"/>
  <c r="I66" i="15" s="1"/>
  <c r="L67" i="15"/>
  <c r="K67" i="15" s="1"/>
  <c r="J67" i="15" s="1"/>
  <c r="I67" i="15" s="1"/>
  <c r="L68" i="15"/>
  <c r="K68" i="15" s="1"/>
  <c r="J68" i="15" s="1"/>
  <c r="I68" i="15" s="1"/>
  <c r="L69" i="15"/>
  <c r="K69" i="15" s="1"/>
  <c r="J69" i="15" s="1"/>
  <c r="I69" i="15" s="1"/>
  <c r="L70" i="15"/>
  <c r="K70" i="15" s="1"/>
  <c r="J70" i="15" s="1"/>
  <c r="I70" i="15" s="1"/>
  <c r="L71" i="15"/>
  <c r="K71" i="15" s="1"/>
  <c r="J71" i="15" s="1"/>
  <c r="I71" i="15" s="1"/>
  <c r="L72" i="15"/>
  <c r="K72" i="15" s="1"/>
  <c r="J72" i="15" s="1"/>
  <c r="I72" i="15" s="1"/>
  <c r="L73" i="15"/>
  <c r="K73" i="15" s="1"/>
  <c r="J73" i="15" s="1"/>
  <c r="I73" i="15" s="1"/>
  <c r="L3" i="15"/>
  <c r="K3" i="15" s="1"/>
  <c r="J3" i="15" s="1"/>
  <c r="I3" i="15" s="1"/>
  <c r="R336" i="5"/>
  <c r="K336" i="5"/>
  <c r="L336" i="5"/>
  <c r="R337" i="5"/>
  <c r="K337" i="5"/>
  <c r="L337" i="5"/>
  <c r="R338" i="5"/>
  <c r="K338" i="5"/>
  <c r="L338" i="5"/>
  <c r="R339" i="5"/>
  <c r="K339" i="5"/>
  <c r="L339" i="5"/>
  <c r="R334" i="5"/>
  <c r="R335" i="5"/>
  <c r="K334" i="5"/>
  <c r="L334" i="5"/>
  <c r="K335" i="5"/>
  <c r="L335" i="5"/>
  <c r="L227" i="5"/>
  <c r="R227" i="5"/>
  <c r="I29" i="4"/>
  <c r="A1" i="5"/>
  <c r="B1" i="5" s="1"/>
  <c r="Q338" i="5" s="1"/>
  <c r="C355" i="5"/>
  <c r="K292" i="5"/>
  <c r="L292" i="5"/>
  <c r="K293" i="5"/>
  <c r="L293" i="5"/>
  <c r="K294" i="5"/>
  <c r="L294" i="5"/>
  <c r="K295" i="5"/>
  <c r="L295" i="5"/>
  <c r="R292" i="5"/>
  <c r="R293" i="5"/>
  <c r="R294" i="5"/>
  <c r="R295" i="5"/>
  <c r="K310" i="5"/>
  <c r="L310" i="5"/>
  <c r="K311" i="5"/>
  <c r="L311" i="5"/>
  <c r="K312" i="5"/>
  <c r="L312" i="5"/>
  <c r="R310" i="5"/>
  <c r="R311" i="5"/>
  <c r="R312" i="5"/>
  <c r="R328" i="5"/>
  <c r="R329" i="5"/>
  <c r="R330" i="5"/>
  <c r="R331" i="5"/>
  <c r="R332" i="5"/>
  <c r="R333" i="5"/>
  <c r="R340" i="5"/>
  <c r="L326" i="5"/>
  <c r="L327" i="5"/>
  <c r="L328" i="5"/>
  <c r="L329" i="5"/>
  <c r="L330" i="5"/>
  <c r="L331" i="5"/>
  <c r="L332" i="5"/>
  <c r="L333" i="5"/>
  <c r="L340" i="5"/>
  <c r="K329" i="5"/>
  <c r="K330" i="5"/>
  <c r="K331" i="5"/>
  <c r="K332" i="5"/>
  <c r="K333" i="5"/>
  <c r="K340" i="5"/>
  <c r="K328" i="5"/>
  <c r="R327" i="5"/>
  <c r="K327" i="5"/>
  <c r="R326" i="5"/>
  <c r="K326" i="5"/>
  <c r="R325" i="5"/>
  <c r="L325" i="5"/>
  <c r="K325" i="5"/>
  <c r="R324" i="5"/>
  <c r="L324" i="5"/>
  <c r="K324" i="5"/>
  <c r="R323" i="5"/>
  <c r="L323" i="5"/>
  <c r="K323" i="5"/>
  <c r="R322" i="5"/>
  <c r="L322" i="5"/>
  <c r="K322" i="5"/>
  <c r="R321" i="5"/>
  <c r="L321" i="5"/>
  <c r="K321" i="5"/>
  <c r="R191" i="5"/>
  <c r="K191" i="5"/>
  <c r="R190" i="5"/>
  <c r="K190" i="5"/>
  <c r="R189" i="5"/>
  <c r="K189" i="5"/>
  <c r="R188" i="5"/>
  <c r="K188" i="5"/>
  <c r="R187" i="5"/>
  <c r="K187" i="5"/>
  <c r="R186" i="5"/>
  <c r="K186" i="5"/>
  <c r="R185" i="5"/>
  <c r="R264" i="5"/>
  <c r="L264" i="5"/>
  <c r="R263" i="5"/>
  <c r="L263" i="5"/>
  <c r="R262" i="5"/>
  <c r="L262" i="5"/>
  <c r="R261" i="5"/>
  <c r="L261" i="5"/>
  <c r="R245" i="5"/>
  <c r="L245" i="5"/>
  <c r="R244" i="5"/>
  <c r="L244" i="5"/>
  <c r="R243" i="5"/>
  <c r="L243" i="5"/>
  <c r="R242" i="5"/>
  <c r="L242" i="5"/>
  <c r="R226" i="5"/>
  <c r="L226" i="5"/>
  <c r="R225" i="5"/>
  <c r="L225" i="5"/>
  <c r="R224" i="5"/>
  <c r="L224" i="5"/>
  <c r="R223" i="5"/>
  <c r="L223" i="5"/>
  <c r="L207" i="5"/>
  <c r="L208" i="5"/>
  <c r="L209" i="5"/>
  <c r="L210" i="5"/>
  <c r="K303" i="5"/>
  <c r="L303" i="5"/>
  <c r="R303" i="5"/>
  <c r="K304" i="5"/>
  <c r="L304" i="5"/>
  <c r="R304" i="5"/>
  <c r="K305" i="5"/>
  <c r="L305" i="5"/>
  <c r="R305" i="5"/>
  <c r="K306" i="5"/>
  <c r="L306" i="5"/>
  <c r="R306" i="5"/>
  <c r="K307" i="5"/>
  <c r="L307" i="5"/>
  <c r="R307" i="5"/>
  <c r="K308" i="5"/>
  <c r="L308" i="5"/>
  <c r="R308" i="5"/>
  <c r="K309" i="5"/>
  <c r="L309" i="5"/>
  <c r="R309" i="5"/>
  <c r="R302" i="5"/>
  <c r="L302" i="5"/>
  <c r="K302" i="5"/>
  <c r="R281" i="5"/>
  <c r="R282" i="5"/>
  <c r="R283" i="5"/>
  <c r="R284" i="5"/>
  <c r="R285" i="5"/>
  <c r="R286" i="5"/>
  <c r="R287" i="5"/>
  <c r="R288" i="5"/>
  <c r="R289" i="5"/>
  <c r="R290" i="5"/>
  <c r="R291" i="5"/>
  <c r="L281" i="5"/>
  <c r="L282" i="5"/>
  <c r="L283" i="5"/>
  <c r="L284" i="5"/>
  <c r="L285" i="5"/>
  <c r="L286" i="5"/>
  <c r="L287" i="5"/>
  <c r="L288" i="5"/>
  <c r="L289" i="5"/>
  <c r="L290" i="5"/>
  <c r="L291" i="5"/>
  <c r="K281" i="5"/>
  <c r="K282" i="5"/>
  <c r="K283" i="5"/>
  <c r="K284" i="5"/>
  <c r="K285" i="5"/>
  <c r="K286" i="5"/>
  <c r="K287" i="5"/>
  <c r="K288" i="5"/>
  <c r="K289" i="5"/>
  <c r="K290" i="5"/>
  <c r="K291" i="5"/>
  <c r="R280" i="5"/>
  <c r="L280" i="5"/>
  <c r="K280" i="5"/>
  <c r="L205" i="5"/>
  <c r="L206" i="5"/>
  <c r="R205" i="5"/>
  <c r="R206" i="5"/>
  <c r="R207" i="5"/>
  <c r="R208" i="5"/>
  <c r="R209" i="5"/>
  <c r="R210" i="5"/>
  <c r="R204" i="5"/>
  <c r="J338" i="5" l="1"/>
  <c r="Q287" i="5"/>
  <c r="J287" i="5" s="1"/>
  <c r="O287" i="5" s="1"/>
  <c r="Q321" i="5"/>
  <c r="J321" i="5" s="1"/>
  <c r="N321" i="5" s="1"/>
  <c r="Q334" i="5"/>
  <c r="J334" i="5" s="1"/>
  <c r="N334" i="5" s="1"/>
  <c r="Q296" i="5"/>
  <c r="J296" i="5" s="1"/>
  <c r="O296" i="5" s="1"/>
  <c r="Q214" i="5"/>
  <c r="J214" i="5" s="1"/>
  <c r="O214" i="5" s="1"/>
  <c r="Q302" i="5"/>
  <c r="J302" i="5" s="1"/>
  <c r="Q311" i="5"/>
  <c r="J311" i="5" s="1"/>
  <c r="O311" i="5" s="1"/>
  <c r="Q339" i="5"/>
  <c r="J339" i="5" s="1"/>
  <c r="O339" i="5" s="1"/>
  <c r="Q288" i="5"/>
  <c r="J288" i="5" s="1"/>
  <c r="N288" i="5" s="1"/>
  <c r="Q332" i="5"/>
  <c r="J332" i="5" s="1"/>
  <c r="N332" i="5" s="1"/>
  <c r="Q264" i="5"/>
  <c r="J264" i="5" s="1"/>
  <c r="N264" i="5" s="1"/>
  <c r="Q306" i="5"/>
  <c r="J306" i="5" s="1"/>
  <c r="O306" i="5" s="1"/>
  <c r="Q305" i="5"/>
  <c r="J305" i="5" s="1"/>
  <c r="O305" i="5" s="1"/>
  <c r="Q197" i="5"/>
  <c r="J197" i="5" s="1"/>
  <c r="N197" i="5" s="1"/>
  <c r="Q215" i="5"/>
  <c r="J215" i="5" s="1"/>
  <c r="Q244" i="5"/>
  <c r="J244" i="5" s="1"/>
  <c r="Q331" i="5"/>
  <c r="J331" i="5" s="1"/>
  <c r="O331" i="5" s="1"/>
  <c r="H6" i="4"/>
  <c r="Q285" i="5"/>
  <c r="J285" i="5" s="1"/>
  <c r="Q325" i="5"/>
  <c r="J325" i="5" s="1"/>
  <c r="Q194" i="5"/>
  <c r="J194" i="5" s="1"/>
  <c r="Q337" i="5"/>
  <c r="J337" i="5" s="1"/>
  <c r="Q303" i="5"/>
  <c r="J303" i="5" s="1"/>
  <c r="O303" i="5" s="1"/>
  <c r="Q327" i="5"/>
  <c r="J327" i="5" s="1"/>
  <c r="O327" i="5" s="1"/>
  <c r="Q336" i="5"/>
  <c r="J336" i="5" s="1"/>
  <c r="Q282" i="5"/>
  <c r="J282" i="5" s="1"/>
  <c r="O282" i="5" s="1"/>
  <c r="Q262" i="5"/>
  <c r="J262" i="5" s="1"/>
  <c r="Q309" i="5"/>
  <c r="J309" i="5" s="1"/>
  <c r="O309" i="5" s="1"/>
  <c r="Q329" i="5"/>
  <c r="J329" i="5" s="1"/>
  <c r="N329" i="5" s="1"/>
  <c r="Q340" i="5"/>
  <c r="J340" i="5" s="1"/>
  <c r="Q283" i="5"/>
  <c r="J283" i="5" s="1"/>
  <c r="N283" i="5" s="1"/>
  <c r="Q209" i="5"/>
  <c r="J209" i="5" s="1"/>
  <c r="O209" i="5" s="1"/>
  <c r="Q341" i="5"/>
  <c r="J341" i="5" s="1"/>
  <c r="Q323" i="5"/>
  <c r="J323" i="5" s="1"/>
  <c r="N323" i="5" s="1"/>
  <c r="Q226" i="5"/>
  <c r="J226" i="5" s="1"/>
  <c r="N226" i="5" s="1"/>
  <c r="Q324" i="5"/>
  <c r="J324" i="5" s="1"/>
  <c r="O324" i="5" s="1"/>
  <c r="Q190" i="5"/>
  <c r="J190" i="5" s="1"/>
  <c r="N190" i="5" s="1"/>
  <c r="Q206" i="5"/>
  <c r="J206" i="5" s="1"/>
  <c r="Q314" i="5"/>
  <c r="J314" i="5" s="1"/>
  <c r="Q195" i="5"/>
  <c r="J195" i="5" s="1"/>
  <c r="O195" i="5" s="1"/>
  <c r="Q189" i="5"/>
  <c r="J189" i="5" s="1"/>
  <c r="Q281" i="5"/>
  <c r="J281" i="5" s="1"/>
  <c r="Q242" i="5"/>
  <c r="J242" i="5" s="1"/>
  <c r="Q187" i="5"/>
  <c r="J187" i="5" s="1"/>
  <c r="O187" i="5" s="1"/>
  <c r="Q293" i="5"/>
  <c r="J293" i="5" s="1"/>
  <c r="N293" i="5" s="1"/>
  <c r="Q335" i="5"/>
  <c r="J335" i="5" s="1"/>
  <c r="N335" i="5" s="1"/>
  <c r="Q291" i="5"/>
  <c r="J291" i="5" s="1"/>
  <c r="Q185" i="5"/>
  <c r="J185" i="5" s="1"/>
  <c r="Q193" i="5"/>
  <c r="J193" i="5" s="1"/>
  <c r="N193" i="5" s="1"/>
  <c r="Q186" i="5"/>
  <c r="J186" i="5" s="1"/>
  <c r="Q297" i="5"/>
  <c r="J297" i="5" s="1"/>
  <c r="Q204" i="5"/>
  <c r="J204" i="5" s="1"/>
  <c r="Q261" i="5"/>
  <c r="J261" i="5" s="1"/>
  <c r="Q333" i="5"/>
  <c r="J333" i="5" s="1"/>
  <c r="Q223" i="5"/>
  <c r="J223" i="5" s="1"/>
  <c r="Q192" i="5"/>
  <c r="J192" i="5" s="1"/>
  <c r="O192" i="5" s="1"/>
  <c r="Q246" i="5"/>
  <c r="J246" i="5" s="1"/>
  <c r="Q210" i="5"/>
  <c r="J210" i="5" s="1"/>
  <c r="Q322" i="5"/>
  <c r="J322" i="5" s="1"/>
  <c r="Q227" i="5"/>
  <c r="J227" i="5" s="1"/>
  <c r="O227" i="5" s="1"/>
  <c r="Q205" i="5"/>
  <c r="J205" i="5" s="1"/>
  <c r="Q290" i="5"/>
  <c r="J290" i="5" s="1"/>
  <c r="O290" i="5" s="1"/>
  <c r="Q229" i="5"/>
  <c r="J229" i="5" s="1"/>
  <c r="Q217" i="5"/>
  <c r="J217" i="5" s="1"/>
  <c r="Q284" i="5"/>
  <c r="J284" i="5" s="1"/>
  <c r="N284" i="5" s="1"/>
  <c r="Q294" i="5"/>
  <c r="J294" i="5" s="1"/>
  <c r="Q230" i="5"/>
  <c r="J230" i="5" s="1"/>
  <c r="N230" i="5" s="1"/>
  <c r="Q304" i="5"/>
  <c r="J304" i="5" s="1"/>
  <c r="Q307" i="5"/>
  <c r="J307" i="5" s="1"/>
  <c r="N307" i="5" s="1"/>
  <c r="Q207" i="5"/>
  <c r="J207" i="5" s="1"/>
  <c r="Q280" i="5"/>
  <c r="J280" i="5" s="1"/>
  <c r="O280" i="5" s="1"/>
  <c r="Q196" i="5"/>
  <c r="J196" i="5" s="1"/>
  <c r="Q295" i="5"/>
  <c r="J295" i="5" s="1"/>
  <c r="O295" i="5" s="1"/>
  <c r="Q224" i="5"/>
  <c r="J224" i="5" s="1"/>
  <c r="Q312" i="5"/>
  <c r="J312" i="5" s="1"/>
  <c r="Q289" i="5"/>
  <c r="J289" i="5" s="1"/>
  <c r="Q330" i="5"/>
  <c r="J330" i="5" s="1"/>
  <c r="Q212" i="5"/>
  <c r="J212" i="5" s="1"/>
  <c r="Q265" i="5"/>
  <c r="J265" i="5" s="1"/>
  <c r="Q216" i="5"/>
  <c r="J216" i="5" s="1"/>
  <c r="Q292" i="5"/>
  <c r="J292" i="5" s="1"/>
  <c r="O292" i="5" s="1"/>
  <c r="Q211" i="5"/>
  <c r="J211" i="5" s="1"/>
  <c r="Q266" i="5"/>
  <c r="J266" i="5" s="1"/>
  <c r="Q310" i="5"/>
  <c r="J310" i="5" s="1"/>
  <c r="O310" i="5" s="1"/>
  <c r="Q208" i="5"/>
  <c r="J208" i="5" s="1"/>
  <c r="N208" i="5" s="1"/>
  <c r="Q308" i="5"/>
  <c r="J308" i="5" s="1"/>
  <c r="Q247" i="5"/>
  <c r="J247" i="5" s="1"/>
  <c r="O321" i="5"/>
  <c r="N338" i="5"/>
  <c r="O338" i="5"/>
  <c r="Q188" i="5"/>
  <c r="J188" i="5" s="1"/>
  <c r="Q225" i="5"/>
  <c r="J225" i="5" s="1"/>
  <c r="O225" i="5" s="1"/>
  <c r="Q243" i="5"/>
  <c r="J243" i="5" s="1"/>
  <c r="Q228" i="5"/>
  <c r="J228" i="5" s="1"/>
  <c r="O228" i="5" s="1"/>
  <c r="Q213" i="5"/>
  <c r="J213" i="5" s="1"/>
  <c r="Q328" i="5"/>
  <c r="J328" i="5" s="1"/>
  <c r="Q191" i="5"/>
  <c r="J191" i="5" s="1"/>
  <c r="Q313" i="5"/>
  <c r="J313" i="5" s="1"/>
  <c r="Q245" i="5"/>
  <c r="J245" i="5" s="1"/>
  <c r="N245" i="5" s="1"/>
  <c r="Q326" i="5"/>
  <c r="J326" i="5" s="1"/>
  <c r="Q286" i="5"/>
  <c r="J286" i="5" s="1"/>
  <c r="Q263" i="5"/>
  <c r="J263" i="5" s="1"/>
  <c r="N287" i="5" l="1"/>
  <c r="O193" i="5"/>
  <c r="N331" i="5"/>
  <c r="O208" i="5"/>
  <c r="N296" i="5"/>
  <c r="N303" i="5"/>
  <c r="O284" i="5"/>
  <c r="O190" i="5"/>
  <c r="O329" i="5"/>
  <c r="O334" i="5"/>
  <c r="N214" i="5"/>
  <c r="N290" i="5"/>
  <c r="O197" i="5"/>
  <c r="O335" i="5"/>
  <c r="O288" i="5"/>
  <c r="N305" i="5"/>
  <c r="N192" i="5"/>
  <c r="N309" i="5"/>
  <c r="N228" i="5"/>
  <c r="N339" i="5"/>
  <c r="O230" i="5"/>
  <c r="N306" i="5"/>
  <c r="N187" i="5"/>
  <c r="N280" i="5"/>
  <c r="N327" i="5"/>
  <c r="N310" i="5"/>
  <c r="N227" i="5"/>
  <c r="O264" i="5"/>
  <c r="N302" i="5"/>
  <c r="O302" i="5"/>
  <c r="N324" i="5"/>
  <c r="O226" i="5"/>
  <c r="O283" i="5"/>
  <c r="O332" i="5"/>
  <c r="O245" i="5"/>
  <c r="N311" i="5"/>
  <c r="N209" i="5"/>
  <c r="N195" i="5"/>
  <c r="O243" i="5"/>
  <c r="N243" i="5"/>
  <c r="O212" i="5"/>
  <c r="N212" i="5"/>
  <c r="O294" i="5"/>
  <c r="N294" i="5"/>
  <c r="N333" i="5"/>
  <c r="O333" i="5"/>
  <c r="O281" i="5"/>
  <c r="N281" i="5"/>
  <c r="N340" i="5"/>
  <c r="O340" i="5"/>
  <c r="O307" i="5"/>
  <c r="N225" i="5"/>
  <c r="O293" i="5"/>
  <c r="N295" i="5"/>
  <c r="O263" i="5"/>
  <c r="N263" i="5"/>
  <c r="O313" i="5"/>
  <c r="N313" i="5"/>
  <c r="O247" i="5"/>
  <c r="N247" i="5"/>
  <c r="O266" i="5"/>
  <c r="N266" i="5"/>
  <c r="N265" i="5"/>
  <c r="O265" i="5"/>
  <c r="N312" i="5"/>
  <c r="O312" i="5"/>
  <c r="O229" i="5"/>
  <c r="N229" i="5"/>
  <c r="N322" i="5"/>
  <c r="O322" i="5"/>
  <c r="O223" i="5"/>
  <c r="N223" i="5"/>
  <c r="N297" i="5"/>
  <c r="O297" i="5"/>
  <c r="O291" i="5"/>
  <c r="N291" i="5"/>
  <c r="N242" i="5"/>
  <c r="O242" i="5"/>
  <c r="O314" i="5"/>
  <c r="N314" i="5"/>
  <c r="N262" i="5"/>
  <c r="O262" i="5"/>
  <c r="O285" i="5"/>
  <c r="N285" i="5"/>
  <c r="O215" i="5"/>
  <c r="N215" i="5"/>
  <c r="O286" i="5"/>
  <c r="N286" i="5"/>
  <c r="O308" i="5"/>
  <c r="N308" i="5"/>
  <c r="O224" i="5"/>
  <c r="N224" i="5"/>
  <c r="O206" i="5"/>
  <c r="N206" i="5"/>
  <c r="O323" i="5"/>
  <c r="O326" i="5"/>
  <c r="N326" i="5"/>
  <c r="N328" i="5"/>
  <c r="O328" i="5"/>
  <c r="N330" i="5"/>
  <c r="O330" i="5"/>
  <c r="N205" i="5"/>
  <c r="O205" i="5"/>
  <c r="N246" i="5"/>
  <c r="O246" i="5"/>
  <c r="O261" i="5"/>
  <c r="N261" i="5"/>
  <c r="O189" i="5"/>
  <c r="N189" i="5"/>
  <c r="O341" i="5"/>
  <c r="N341" i="5"/>
  <c r="O336" i="5"/>
  <c r="N336" i="5"/>
  <c r="N194" i="5"/>
  <c r="O194" i="5"/>
  <c r="N191" i="5"/>
  <c r="O191" i="5"/>
  <c r="O211" i="5"/>
  <c r="N211" i="5"/>
  <c r="O207" i="5"/>
  <c r="N207" i="5"/>
  <c r="O210" i="5"/>
  <c r="N210" i="5"/>
  <c r="O186" i="5"/>
  <c r="N186" i="5"/>
  <c r="N337" i="5"/>
  <c r="O337" i="5"/>
  <c r="N292" i="5"/>
  <c r="N282" i="5"/>
  <c r="O213" i="5"/>
  <c r="N213" i="5"/>
  <c r="N188" i="5"/>
  <c r="O188" i="5"/>
  <c r="O216" i="5"/>
  <c r="N216" i="5"/>
  <c r="N289" i="5"/>
  <c r="O289" i="5"/>
  <c r="N196" i="5"/>
  <c r="O196" i="5"/>
  <c r="O304" i="5"/>
  <c r="N304" i="5"/>
  <c r="O217" i="5"/>
  <c r="N217" i="5"/>
  <c r="N204" i="5"/>
  <c r="O204" i="5"/>
  <c r="O185" i="5"/>
  <c r="N185" i="5"/>
  <c r="O325" i="5"/>
  <c r="N325" i="5"/>
  <c r="N244" i="5"/>
  <c r="O244" i="5"/>
  <c r="O231" i="5" l="1"/>
  <c r="N218" i="5"/>
  <c r="O198" i="5"/>
  <c r="N267" i="5"/>
  <c r="C231" i="5"/>
  <c r="D231" i="5" s="1"/>
  <c r="E231" i="5" s="1"/>
  <c r="O218" i="5"/>
  <c r="O298" i="5"/>
  <c r="N298" i="5"/>
  <c r="O267" i="5"/>
  <c r="N315" i="5"/>
  <c r="O315" i="5"/>
  <c r="O248" i="5"/>
  <c r="O342" i="5"/>
  <c r="N342" i="5"/>
  <c r="D320" i="5" s="1"/>
  <c r="N198" i="5"/>
  <c r="N248" i="5"/>
  <c r="N231" i="5"/>
  <c r="C268" i="5" l="1"/>
  <c r="D268" i="5" s="1"/>
  <c r="E268" i="5" s="1"/>
  <c r="C266" i="5"/>
  <c r="D266" i="5" s="1"/>
  <c r="E266" i="5" s="1"/>
  <c r="C245" i="5"/>
  <c r="D245" i="5" s="1"/>
  <c r="E245" i="5" s="1"/>
  <c r="C247" i="5"/>
  <c r="D247" i="5" s="1"/>
  <c r="E247" i="5" s="1"/>
  <c r="C306" i="5"/>
  <c r="D306" i="5" s="1"/>
  <c r="E306" i="5" s="1"/>
  <c r="C307" i="5"/>
  <c r="D307" i="5" s="1"/>
  <c r="E307" i="5" s="1"/>
  <c r="C286" i="5"/>
  <c r="D286" i="5" s="1"/>
  <c r="E286" i="5" s="1"/>
  <c r="C285" i="5"/>
  <c r="D285" i="5" s="1"/>
  <c r="E285" i="5" s="1"/>
  <c r="C197" i="5"/>
  <c r="D197" i="5" s="1"/>
  <c r="E197" i="5" s="1"/>
  <c r="C190" i="5"/>
  <c r="D190" i="5" s="1"/>
  <c r="E190" i="5" s="1"/>
  <c r="C236" i="5"/>
  <c r="D236" i="5" s="1"/>
  <c r="E236" i="5" s="1"/>
  <c r="C228" i="5"/>
  <c r="D228" i="5" s="1"/>
  <c r="E228" i="5" s="1"/>
  <c r="C214" i="5"/>
  <c r="D214" i="5" s="1"/>
  <c r="E214" i="5" s="1"/>
  <c r="C209" i="5"/>
  <c r="D209" i="5" s="1"/>
  <c r="E209" i="5" s="1"/>
  <c r="C232" i="5"/>
  <c r="D232" i="5" s="1"/>
  <c r="E232" i="5" s="1"/>
  <c r="C291" i="5"/>
  <c r="D291" i="5" s="1"/>
  <c r="E291" i="5" s="1"/>
  <c r="J14" i="4"/>
  <c r="C287" i="5"/>
  <c r="D287" i="5" s="1"/>
  <c r="E287" i="5" s="1"/>
  <c r="C315" i="5"/>
  <c r="D315" i="5" s="1"/>
  <c r="E315" i="5" s="1"/>
  <c r="C293" i="5"/>
  <c r="D293" i="5" s="1"/>
  <c r="E293" i="5" s="1"/>
  <c r="C312" i="5"/>
  <c r="D312" i="5" s="1"/>
  <c r="E312" i="5" s="1"/>
  <c r="C284" i="5"/>
  <c r="D284" i="5" s="1"/>
  <c r="E284" i="5" s="1"/>
  <c r="C316" i="5"/>
  <c r="D316" i="5" s="1"/>
  <c r="E316" i="5" s="1"/>
  <c r="C290" i="5"/>
  <c r="D290" i="5" s="1"/>
  <c r="E290" i="5" s="1"/>
  <c r="C314" i="5"/>
  <c r="D314" i="5" s="1"/>
  <c r="E314" i="5" s="1"/>
  <c r="C305" i="5"/>
  <c r="C311" i="5"/>
  <c r="D311" i="5" s="1"/>
  <c r="E311" i="5" s="1"/>
  <c r="C234" i="5"/>
  <c r="D234" i="5" s="1"/>
  <c r="E234" i="5" s="1"/>
  <c r="C229" i="5"/>
  <c r="D229" i="5" s="1"/>
  <c r="E229" i="5" s="1"/>
  <c r="C237" i="5"/>
  <c r="D237" i="5" s="1"/>
  <c r="E237" i="5" s="1"/>
  <c r="J20" i="4"/>
  <c r="C289" i="5"/>
  <c r="D289" i="5" s="1"/>
  <c r="E289" i="5" s="1"/>
  <c r="C294" i="5"/>
  <c r="D294" i="5" s="1"/>
  <c r="E294" i="5" s="1"/>
  <c r="C292" i="5"/>
  <c r="D292" i="5" s="1"/>
  <c r="E292" i="5" s="1"/>
  <c r="C254" i="5"/>
  <c r="D254" i="5" s="1"/>
  <c r="E254" i="5" s="1"/>
  <c r="J12" i="4"/>
  <c r="C308" i="5"/>
  <c r="D308" i="5" s="1"/>
  <c r="E308" i="5" s="1"/>
  <c r="C309" i="5"/>
  <c r="D309" i="5" s="1"/>
  <c r="E309" i="5" s="1"/>
  <c r="C288" i="5"/>
  <c r="D288" i="5" s="1"/>
  <c r="E288" i="5" s="1"/>
  <c r="C283" i="5"/>
  <c r="D283" i="5" s="1"/>
  <c r="E283" i="5" s="1"/>
  <c r="C246" i="5"/>
  <c r="D246" i="5" s="1"/>
  <c r="E246" i="5" s="1"/>
  <c r="C313" i="5"/>
  <c r="D313" i="5" s="1"/>
  <c r="E313" i="5" s="1"/>
  <c r="C310" i="5"/>
  <c r="D310" i="5" s="1"/>
  <c r="E310" i="5" s="1"/>
  <c r="C233" i="5"/>
  <c r="D233" i="5" s="1"/>
  <c r="E233" i="5" s="1"/>
  <c r="C252" i="5"/>
  <c r="D252" i="5" s="1"/>
  <c r="E252" i="5" s="1"/>
  <c r="J18" i="4"/>
  <c r="C227" i="5"/>
  <c r="D227" i="5" s="1"/>
  <c r="E227" i="5" s="1"/>
  <c r="C274" i="5"/>
  <c r="D274" i="5" s="1"/>
  <c r="E274" i="5" s="1"/>
  <c r="C226" i="5"/>
  <c r="C230" i="5"/>
  <c r="D230" i="5" s="1"/>
  <c r="E230" i="5" s="1"/>
  <c r="C235" i="5"/>
  <c r="D235" i="5" s="1"/>
  <c r="E235" i="5" s="1"/>
  <c r="C195" i="5"/>
  <c r="D195" i="5" s="1"/>
  <c r="E195" i="5" s="1"/>
  <c r="C267" i="5"/>
  <c r="D267" i="5" s="1"/>
  <c r="E267" i="5" s="1"/>
  <c r="C210" i="5"/>
  <c r="D210" i="5" s="1"/>
  <c r="E210" i="5" s="1"/>
  <c r="C273" i="5"/>
  <c r="D273" i="5" s="1"/>
  <c r="E273" i="5" s="1"/>
  <c r="C189" i="5"/>
  <c r="D189" i="5" s="1"/>
  <c r="E189" i="5" s="1"/>
  <c r="C208" i="5"/>
  <c r="D208" i="5" s="1"/>
  <c r="E208" i="5" s="1"/>
  <c r="C269" i="5"/>
  <c r="D269" i="5" s="1"/>
  <c r="E269" i="5" s="1"/>
  <c r="J22" i="4"/>
  <c r="C217" i="5"/>
  <c r="D217" i="5" s="1"/>
  <c r="E217" i="5" s="1"/>
  <c r="C270" i="5"/>
  <c r="D270" i="5" s="1"/>
  <c r="E270" i="5" s="1"/>
  <c r="C188" i="5"/>
  <c r="D188" i="5" s="1"/>
  <c r="E188" i="5" s="1"/>
  <c r="C256" i="5"/>
  <c r="D256" i="5" s="1"/>
  <c r="E256" i="5" s="1"/>
  <c r="C248" i="5"/>
  <c r="D248" i="5" s="1"/>
  <c r="E248" i="5" s="1"/>
  <c r="C192" i="5"/>
  <c r="D192" i="5" s="1"/>
  <c r="E192" i="5" s="1"/>
  <c r="C196" i="5"/>
  <c r="D196" i="5" s="1"/>
  <c r="E196" i="5" s="1"/>
  <c r="C271" i="5"/>
  <c r="D271" i="5" s="1"/>
  <c r="E271" i="5" s="1"/>
  <c r="C272" i="5"/>
  <c r="D272" i="5" s="1"/>
  <c r="E272" i="5" s="1"/>
  <c r="C275" i="5"/>
  <c r="D275" i="5" s="1"/>
  <c r="E275" i="5" s="1"/>
  <c r="C194" i="5"/>
  <c r="D194" i="5" s="1"/>
  <c r="E194" i="5" s="1"/>
  <c r="C199" i="5"/>
  <c r="D199" i="5" s="1"/>
  <c r="E199" i="5" s="1"/>
  <c r="C191" i="5"/>
  <c r="D191" i="5" s="1"/>
  <c r="E191" i="5" s="1"/>
  <c r="C213" i="5"/>
  <c r="D213" i="5" s="1"/>
  <c r="E213" i="5" s="1"/>
  <c r="C215" i="5"/>
  <c r="D215" i="5" s="1"/>
  <c r="E215" i="5" s="1"/>
  <c r="C218" i="5"/>
  <c r="D218" i="5" s="1"/>
  <c r="E218" i="5" s="1"/>
  <c r="C211" i="5"/>
  <c r="D211" i="5" s="1"/>
  <c r="E211" i="5" s="1"/>
  <c r="C207" i="5"/>
  <c r="J16" i="4"/>
  <c r="C265" i="5"/>
  <c r="D265" i="5" s="1"/>
  <c r="E265" i="5" s="1"/>
  <c r="C264" i="5"/>
  <c r="C193" i="5"/>
  <c r="D193" i="5" s="1"/>
  <c r="E193" i="5" s="1"/>
  <c r="C198" i="5"/>
  <c r="D198" i="5" s="1"/>
  <c r="E198" i="5" s="1"/>
  <c r="C216" i="5"/>
  <c r="D216" i="5" s="1"/>
  <c r="E216" i="5" s="1"/>
  <c r="C212" i="5"/>
  <c r="D212" i="5" s="1"/>
  <c r="E212" i="5" s="1"/>
  <c r="F1" i="5"/>
  <c r="C253" i="5"/>
  <c r="D253" i="5" s="1"/>
  <c r="E253" i="5" s="1"/>
  <c r="C255" i="5"/>
  <c r="D255" i="5" s="1"/>
  <c r="E255" i="5" s="1"/>
  <c r="C251" i="5"/>
  <c r="D251" i="5" s="1"/>
  <c r="E251" i="5" s="1"/>
  <c r="C250" i="5"/>
  <c r="D250" i="5" s="1"/>
  <c r="E250" i="5" s="1"/>
  <c r="C249" i="5"/>
  <c r="D249" i="5" s="1"/>
  <c r="E249" i="5" s="1"/>
  <c r="D242" i="5" l="1"/>
  <c r="D280" i="5"/>
  <c r="D279" i="5" s="1"/>
  <c r="D185" i="5"/>
  <c r="D184" i="5" s="1"/>
  <c r="I20" i="4"/>
  <c r="I12" i="4"/>
  <c r="I22" i="4"/>
  <c r="D241" i="5"/>
  <c r="I16" i="4"/>
  <c r="D305" i="5"/>
  <c r="E305" i="5" s="1"/>
  <c r="I14" i="4"/>
  <c r="D207" i="5"/>
  <c r="E207" i="5" s="1"/>
  <c r="D226" i="5"/>
  <c r="E226" i="5" s="1"/>
  <c r="I18" i="4"/>
  <c r="D264" i="5"/>
  <c r="E264" i="5" s="1"/>
  <c r="D223" i="5" l="1"/>
  <c r="D222" i="5" s="1"/>
  <c r="D302" i="5"/>
  <c r="D301" i="5" s="1"/>
  <c r="D204" i="5"/>
  <c r="D203" i="5" s="1"/>
  <c r="D261" i="5"/>
  <c r="D260" i="5" s="1"/>
  <c r="D1" i="5" l="1"/>
  <c r="I28" i="4" s="1"/>
  <c r="I31" i="4" s="1"/>
</calcChain>
</file>

<file path=xl/comments1.xml><?xml version="1.0" encoding="utf-8"?>
<comments xmlns="http://schemas.openxmlformats.org/spreadsheetml/2006/main">
  <authors>
    <author>Hans Domingo</author>
  </authors>
  <commentList>
    <comment ref="E68" authorId="0" shapeId="0">
      <text>
        <r>
          <rPr>
            <b/>
            <sz val="9"/>
            <color indexed="81"/>
            <rFont val="Tahoma"/>
            <family val="2"/>
          </rPr>
          <t>Hans Domingo:</t>
        </r>
        <r>
          <rPr>
            <sz val="9"/>
            <color indexed="81"/>
            <rFont val="Tahoma"/>
            <family val="2"/>
          </rPr>
          <t xml:space="preserve">
does not have cost sheet - used assy24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Hans Domingo:</t>
        </r>
        <r>
          <rPr>
            <sz val="9"/>
            <color indexed="81"/>
            <rFont val="Tahoma"/>
            <family val="2"/>
          </rPr>
          <t xml:space="preserve">
does not have cost sheet - used assy26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Hans Domingo:</t>
        </r>
        <r>
          <rPr>
            <sz val="9"/>
            <color indexed="81"/>
            <rFont val="Tahoma"/>
            <family val="2"/>
          </rPr>
          <t xml:space="preserve">
does not have cost sheet - used assy55</t>
        </r>
      </text>
    </comment>
  </commentList>
</comments>
</file>

<file path=xl/sharedStrings.xml><?xml version="1.0" encoding="utf-8"?>
<sst xmlns="http://schemas.openxmlformats.org/spreadsheetml/2006/main" count="1835" uniqueCount="955">
  <si>
    <t>6542-2430</t>
  </si>
  <si>
    <t>6542-2440</t>
  </si>
  <si>
    <t>6543-3030</t>
  </si>
  <si>
    <t>6543-3040</t>
  </si>
  <si>
    <t>6544-3030</t>
  </si>
  <si>
    <t>6544-3040</t>
  </si>
  <si>
    <t>6545-3030</t>
  </si>
  <si>
    <t>6545-3040</t>
  </si>
  <si>
    <t>Public Lounge Unit</t>
  </si>
  <si>
    <t>Private Lounge Unit</t>
  </si>
  <si>
    <t>Private Lounge Unit with Full Canopy</t>
  </si>
  <si>
    <t>Private Lounge unit with Open Canopy</t>
  </si>
  <si>
    <t>Private Lounge Unit, Veneer Accent Tier</t>
  </si>
  <si>
    <t>Private Lounge Unit with Full Canopy, Veneer Accent Tier</t>
  </si>
  <si>
    <t>Private Lounge unit with Open Canopy, Veneer Accent Tier</t>
  </si>
  <si>
    <t>Public Lounge Unit with Integrated Table</t>
  </si>
  <si>
    <t>Private Lounge Unit with Integrated Table</t>
  </si>
  <si>
    <t>Private Lounge Unit with Full Canopy with Integrated Table</t>
  </si>
  <si>
    <t>Private Lounge unit with Open Canopy with Integrated Table</t>
  </si>
  <si>
    <t>Private Lounge Unit with Integrated Table, Veneer Accent Tier</t>
  </si>
  <si>
    <t>Private Lounge Unit with Full Canopy with Integrated Table, Veneer Accent Tier</t>
  </si>
  <si>
    <t>Private Lounge unit with Open Canopy with Integrated Table, Veneer Accent Tier</t>
  </si>
  <si>
    <t>Public Love Unit</t>
  </si>
  <si>
    <t>Private Love Unit</t>
  </si>
  <si>
    <t>Private Love Unit with Full Canopy</t>
  </si>
  <si>
    <t>Private Love unit with Open Canopy</t>
  </si>
  <si>
    <t>Private Love Unit, Veneer Accent Tier</t>
  </si>
  <si>
    <t>Private Love Unit with Full Canopy, Veneer Accent Tier</t>
  </si>
  <si>
    <t>Private Love unit with Open Canopy, Veneer Accent Tier</t>
  </si>
  <si>
    <t>Public Love Unit with Integrated Table</t>
  </si>
  <si>
    <t>Private Love Unit with Integrated Table</t>
  </si>
  <si>
    <t>Private Love Unit with Full Canopy with Integrated Table</t>
  </si>
  <si>
    <t>Private Love unit with Open Canopy with Integrated Table</t>
  </si>
  <si>
    <t>Private Love Unit with Full Canopy and Integrated Table, Veneer Accent Tier</t>
  </si>
  <si>
    <t>Private Love unit with Open Canopy and Integrated Table, Veneer Accent Tier</t>
  </si>
  <si>
    <t>60" W Love Seat Booth with Full Canopy</t>
  </si>
  <si>
    <t>60" W Love Seat Booth with Open Canopy</t>
  </si>
  <si>
    <t>72" W Love Seat Booth with Full Canopy</t>
  </si>
  <si>
    <t>72" W Love Seat Booth with Open Canopy</t>
  </si>
  <si>
    <t>60" W Love Seat Booth with Full Canopy, Veneer Accent Tier</t>
  </si>
  <si>
    <t>60" W Love Seat Booth with Open Canopy, Veneer Accent Tier</t>
  </si>
  <si>
    <t>72" W Love Seat Booth with Full Canopy, Veneer Accent Tier</t>
  </si>
  <si>
    <t>72" W Love Seat Booth with Open Canopy, Veneer Accent Tier</t>
  </si>
  <si>
    <t>60" W Stand-Alone Full Canopy and 24" W Table</t>
  </si>
  <si>
    <t>60" W Stand-Alone Open Canopy and 24" W Table</t>
  </si>
  <si>
    <t>60" W Stand-Alone Full Canopy and 30" W Table</t>
  </si>
  <si>
    <t>60" W Stand-Alone Open Canopy and 30" W Table</t>
  </si>
  <si>
    <t>72" W Stand-Alone Full Canopy and 30" W Table</t>
  </si>
  <si>
    <t>72" W Stand-Alone Open Canopy and 30" W Table</t>
  </si>
  <si>
    <t>60" W Stand-Alone Full Canopy and 24" W Table, Veneer Accent Tier</t>
  </si>
  <si>
    <t>60" W Stand-Alone Open Canopy and 24" W Table, Veneer Accent Tier</t>
  </si>
  <si>
    <t>60" W Stand-Alone Full Canopy and 30" W Table, Veneer Accent Tier</t>
  </si>
  <si>
    <t>60" W Stand-Alone Open Canopy and 30" W Table, Veneer Accent Tier</t>
  </si>
  <si>
    <t>72" W Stand-Alone Full Canopy and 30" W Table, Veneer Accent Tier</t>
  </si>
  <si>
    <t>72" W Stand-Alone Open Canopy and 30" W Table, Veneer Accent Tier</t>
  </si>
  <si>
    <t>60" W Stand-Alone Full Canopy and 24" W Table, Laminate Accent Tier</t>
  </si>
  <si>
    <t>60" W Wall-Mount Unit, Panel Only</t>
  </si>
  <si>
    <t>60" W Wall-Mount Unit with Cut-Out Detail, Panel Only</t>
  </si>
  <si>
    <t>72" W Wall-Mount Unit, Panel Only</t>
  </si>
  <si>
    <t>72" W Wall-Mount Unit with Cut-Out Detail, Panel Only</t>
  </si>
  <si>
    <t>60" W Wall-Mount Unit, Panel Only, Veneer Accent Tier</t>
  </si>
  <si>
    <t>60" W Wall-Mount Unit with Cut-Out Detail, Panel Only, Veneer Accent Tier</t>
  </si>
  <si>
    <t>72" W Wall-Mount Unit, Panel Only, Veneer Accent Tier</t>
  </si>
  <si>
    <t>72" W Wall-Mount Unit with Cut-Out Detail, Panel Only, Veneer Accent Tier</t>
  </si>
  <si>
    <t>60" W Wall-Mount Unit with Full Canopy and 24" W Table</t>
  </si>
  <si>
    <t>60" W Wall-Mount Unit with Full Canopy and 30" W Table</t>
  </si>
  <si>
    <t>60" W Wall-Mount Unit with Open Canopy and 24" W Table</t>
  </si>
  <si>
    <t>60" W Wall-Mount Unit with Open Canopy and 30" W Table</t>
  </si>
  <si>
    <t>72" W Wall-Mount Unit with Open Canopy and 30" W Table</t>
  </si>
  <si>
    <t>72" W Wall-Mount Unit with Full Canopy and 30" W Table</t>
  </si>
  <si>
    <t>60" W Wall-Mount Unit with Full Canopy and 24" W Table, Veneer Accent Tier</t>
  </si>
  <si>
    <t>60" W Wall-Mount Unit with Full Canopy and 30" W Table, Veneer Accent Tier</t>
  </si>
  <si>
    <t>60" W Wall-Mount Unit with Open Canopy and 24" W Table, Veneer Accent Tier</t>
  </si>
  <si>
    <t>60" W Wall-Mount Unit with Open Canopy and 30" W Table, Veneer Accent Tier</t>
  </si>
  <si>
    <t>72" W Wall-Mount Unit with Full Canopy and 30" W Table, Veneer Accent Tier</t>
  </si>
  <si>
    <t>72" W Wall-Mount Unit with Open Canopy and 30" W Table, Veneer Accent Tier</t>
  </si>
  <si>
    <t>60" W Wall-Mount Love Seat Unit with Full Canopy</t>
  </si>
  <si>
    <t>60" W Wall-Mount Love Seat Unit with Open Canopy</t>
  </si>
  <si>
    <t>72" W Wall-Mount Love Seat Unit with Full Canopy</t>
  </si>
  <si>
    <t>72" W Wall-Mount Love Seat Unit with Open Canopy</t>
  </si>
  <si>
    <t>60" W Wall-Mount Love Seat Unit with Full Canopy, Veneer Accent Tier</t>
  </si>
  <si>
    <t>60" W Wall-Mount Love Seat Unit with Open Canopy, Veneer Accent Tier</t>
  </si>
  <si>
    <t>72" W Wall-Mount Love Seat Unit with Full Canopy, Veneer Accent Tier</t>
  </si>
  <si>
    <t>72" W Wall-Mount Love Seat Unit with Open Canopy, Veneer Accent Tier</t>
  </si>
  <si>
    <t>60" W Love Seat</t>
  </si>
  <si>
    <t>60" W Private Love Seat</t>
  </si>
  <si>
    <t>72" W Love Seat</t>
  </si>
  <si>
    <t>72" W Private Love Seat</t>
  </si>
  <si>
    <t>60" W Private Love Seat, Veneer Accent Tier</t>
  </si>
  <si>
    <t>72" W Private Love Seat, Veneer Accent Tier</t>
  </si>
  <si>
    <t>Model #</t>
  </si>
  <si>
    <t>Description</t>
  </si>
  <si>
    <t>6542-3030</t>
  </si>
  <si>
    <t>6542-3040</t>
  </si>
  <si>
    <t>30" Canopy</t>
  </si>
  <si>
    <t>Assy #</t>
  </si>
  <si>
    <t>60" Canopy</t>
  </si>
  <si>
    <t>72" Canopy</t>
  </si>
  <si>
    <t>6543-2430</t>
  </si>
  <si>
    <t>6543-2440</t>
  </si>
  <si>
    <t>Accent Tier</t>
  </si>
  <si>
    <t>Canopy</t>
  </si>
  <si>
    <t>Model Number</t>
  </si>
  <si>
    <t>Dropdown</t>
  </si>
  <si>
    <t>Code</t>
  </si>
  <si>
    <t>Yard</t>
  </si>
  <si>
    <t>Assy</t>
  </si>
  <si>
    <t>Qty</t>
  </si>
  <si>
    <t>Total Yard</t>
  </si>
  <si>
    <t>COM</t>
  </si>
  <si>
    <t>COL</t>
  </si>
  <si>
    <t>G1</t>
  </si>
  <si>
    <t>G2</t>
  </si>
  <si>
    <t>G3</t>
  </si>
  <si>
    <t>G4</t>
  </si>
  <si>
    <t>G5</t>
  </si>
  <si>
    <t>G6</t>
  </si>
  <si>
    <t>G7</t>
  </si>
  <si>
    <t>G8</t>
  </si>
  <si>
    <t>Charge</t>
  </si>
  <si>
    <t>Row</t>
  </si>
  <si>
    <t>Col</t>
  </si>
  <si>
    <t>Y*C</t>
  </si>
  <si>
    <t>Fabric Charge</t>
  </si>
  <si>
    <t>COM Total</t>
  </si>
  <si>
    <t>Total</t>
  </si>
  <si>
    <t>Co-op</t>
  </si>
  <si>
    <t>n/a</t>
  </si>
  <si>
    <t>Item</t>
  </si>
  <si>
    <t>Grade</t>
  </si>
  <si>
    <t>1 Yard Charge</t>
  </si>
  <si>
    <t>Side Panel</t>
  </si>
  <si>
    <t>Short Table</t>
  </si>
  <si>
    <t>60" Seat with Back Panel (2" short)</t>
  </si>
  <si>
    <t>60" Seat with Back Panel</t>
  </si>
  <si>
    <t>Long Table</t>
  </si>
  <si>
    <t>30" Seat with Back Panel (2" short)</t>
  </si>
  <si>
    <t>72" Seat with Back Panel</t>
  </si>
  <si>
    <t>60" Back Panel only</t>
  </si>
  <si>
    <t>72" Back Panel only</t>
  </si>
  <si>
    <t>24" W x 30" H for Wall Mount unit</t>
  </si>
  <si>
    <t>24" W x 40" H for Wall Mount unit</t>
  </si>
  <si>
    <t>30" W x 30" H for Wall Mount unit</t>
  </si>
  <si>
    <t>30" W x 40" H for Wall Mount unit</t>
  </si>
  <si>
    <t>30" Accent Tier, Veneer</t>
  </si>
  <si>
    <t>60" Accent Tier, Veneer</t>
  </si>
  <si>
    <t>72" Accent Tier, Veneer</t>
  </si>
  <si>
    <t>Accent Tier for Side Panel, Veneer</t>
  </si>
  <si>
    <t>30" Accent Tier, Laminate</t>
  </si>
  <si>
    <t>60" Accent Tier, Laminate</t>
  </si>
  <si>
    <t>72" Accent Tier, Laminate</t>
  </si>
  <si>
    <t>Accent Tier for Side Panel, Laminate</t>
  </si>
  <si>
    <t>Base</t>
  </si>
  <si>
    <t>30" Open Center Canopy</t>
  </si>
  <si>
    <t>60"/72" Open Center Canopy</t>
  </si>
  <si>
    <t>30" Full Center Canopy</t>
  </si>
  <si>
    <t>72" Full Center Canopy</t>
  </si>
  <si>
    <t>60" Full Center Canopy</t>
  </si>
  <si>
    <t>30" Accent Tier, Uphl</t>
  </si>
  <si>
    <t>60" Accent Tier, Uphl</t>
  </si>
  <si>
    <t>72" Accent Tier, Uphl</t>
  </si>
  <si>
    <t>Accent Tier for Side Panel, Uphl</t>
  </si>
  <si>
    <t>Assy001</t>
  </si>
  <si>
    <t>Assy002</t>
  </si>
  <si>
    <t>Assy003</t>
  </si>
  <si>
    <t>Assy004</t>
  </si>
  <si>
    <t>Assy005</t>
  </si>
  <si>
    <t>Assy006</t>
  </si>
  <si>
    <t>Assy007</t>
  </si>
  <si>
    <t>Assy008</t>
  </si>
  <si>
    <t>Assy009</t>
  </si>
  <si>
    <t>Assy010U</t>
  </si>
  <si>
    <t>Assy011U</t>
  </si>
  <si>
    <t>Assy012U</t>
  </si>
  <si>
    <t>Assy013U</t>
  </si>
  <si>
    <t>Assy010V</t>
  </si>
  <si>
    <t>Assy011V</t>
  </si>
  <si>
    <t>Assy012V</t>
  </si>
  <si>
    <t>Assy013V</t>
  </si>
  <si>
    <t>Assy010L</t>
  </si>
  <si>
    <t>Assy011L</t>
  </si>
  <si>
    <t>Assy012L</t>
  </si>
  <si>
    <t>Assy013L</t>
  </si>
  <si>
    <t>Assy014</t>
  </si>
  <si>
    <t>Assy015</t>
  </si>
  <si>
    <t>Assy016</t>
  </si>
  <si>
    <t>Assy017</t>
  </si>
  <si>
    <t>Assy018</t>
  </si>
  <si>
    <t>Assy019</t>
  </si>
  <si>
    <t>Assy020</t>
  </si>
  <si>
    <t>Assy021</t>
  </si>
  <si>
    <t>Assy022</t>
  </si>
  <si>
    <t>Assy023</t>
  </si>
  <si>
    <t>Assy024</t>
  </si>
  <si>
    <t>Assy025</t>
  </si>
  <si>
    <t>Assy026</t>
  </si>
  <si>
    <t>Assy027</t>
  </si>
  <si>
    <t>Assy028</t>
  </si>
  <si>
    <t>Assy029</t>
  </si>
  <si>
    <t>Assy030</t>
  </si>
  <si>
    <t>Assy031</t>
  </si>
  <si>
    <t>Assy032</t>
  </si>
  <si>
    <t>Assy001BC</t>
  </si>
  <si>
    <t>Assy001SCT</t>
  </si>
  <si>
    <t>Assy001SCB</t>
  </si>
  <si>
    <t>Assy001BP</t>
  </si>
  <si>
    <t>Assy003BC</t>
  </si>
  <si>
    <t>Assy003SCT</t>
  </si>
  <si>
    <t>Assy003SCB</t>
  </si>
  <si>
    <t>Assy003BP</t>
  </si>
  <si>
    <t>Assy004BC</t>
  </si>
  <si>
    <t>Assy004SCT</t>
  </si>
  <si>
    <t>Assy004SCB</t>
  </si>
  <si>
    <t>Assy004BP</t>
  </si>
  <si>
    <t>Assy008BC</t>
  </si>
  <si>
    <t>Assy008SCT</t>
  </si>
  <si>
    <t>Assy008SCB</t>
  </si>
  <si>
    <t>Assy008BP</t>
  </si>
  <si>
    <t>001 Back Cushion</t>
  </si>
  <si>
    <t>001 Seat Cushion Top</t>
  </si>
  <si>
    <t>001 Seat Cushion Bottom</t>
  </si>
  <si>
    <t>001 Back Panel</t>
  </si>
  <si>
    <t>003 Back Cushion</t>
  </si>
  <si>
    <t>003 Seat Cushion Top</t>
  </si>
  <si>
    <t>003 Seat Cushion Bottom</t>
  </si>
  <si>
    <t>003 Back Panel</t>
  </si>
  <si>
    <t>004 Back Cushion</t>
  </si>
  <si>
    <t>004 Seat Cushion Top</t>
  </si>
  <si>
    <t>004 Seat Cushion Bottom</t>
  </si>
  <si>
    <t>004 Back Panel</t>
  </si>
  <si>
    <t>008 Back Cushion</t>
  </si>
  <si>
    <t>008 Seat Cushion Top</t>
  </si>
  <si>
    <t>008 Seat Cushion Bottom</t>
  </si>
  <si>
    <t>008 Back Panel</t>
  </si>
  <si>
    <t>list</t>
  </si>
  <si>
    <t>yard</t>
  </si>
  <si>
    <t>Back Cushion</t>
  </si>
  <si>
    <t>Back Panel</t>
  </si>
  <si>
    <t>Seat Cushion Top</t>
  </si>
  <si>
    <t>Seat Cushion Bottom</t>
  </si>
  <si>
    <t>Sub-Category</t>
  </si>
  <si>
    <t>(A) Canopy</t>
  </si>
  <si>
    <t>(B) Accent Tier</t>
  </si>
  <si>
    <t>(F) Seat Cushion Bottom</t>
  </si>
  <si>
    <t>(E) Seat Cushion Top</t>
  </si>
  <si>
    <t>(D) Back Cushion</t>
  </si>
  <si>
    <t>(C) Back Panel</t>
  </si>
  <si>
    <t>Model Number (8)</t>
  </si>
  <si>
    <t>Back Panel (9)</t>
  </si>
  <si>
    <t>Back Cushion (10)</t>
  </si>
  <si>
    <t>Seat Cushion Top (11)</t>
  </si>
  <si>
    <t>Seat Cushion Bottom (12)</t>
  </si>
  <si>
    <t>Accent Tier (13)</t>
  </si>
  <si>
    <t>Canopy (14)</t>
  </si>
  <si>
    <t>Base (15)</t>
  </si>
  <si>
    <t>6544-3630</t>
  </si>
  <si>
    <t>6544-3640</t>
  </si>
  <si>
    <t>6545-3630</t>
  </si>
  <si>
    <t>6545-3640</t>
  </si>
  <si>
    <t>Assy055</t>
  </si>
  <si>
    <t>Assy056</t>
  </si>
  <si>
    <t>Assy057</t>
  </si>
  <si>
    <t>Assy058</t>
  </si>
  <si>
    <t>36" W x 30" H for Wall Mount unit</t>
  </si>
  <si>
    <t>36" W x 40" H for Wall Mount unit</t>
  </si>
  <si>
    <t>72" W Stand-Alone Full Canopy and 36" W Table</t>
  </si>
  <si>
    <t>72" W Wall-Mount Unit with Full Canopy and 36" W Table</t>
  </si>
  <si>
    <t>72" W Wall-Mount Unit with Open Canopy and 36" W Table</t>
  </si>
  <si>
    <t>72" W Stand-Alone Open Canopy and 36" W Table, Veneer Accent Tier</t>
  </si>
  <si>
    <t>72" W Stand-Alone Full Canopy and 36" W Table, Veneer Accent Tier</t>
  </si>
  <si>
    <t>72" W Stand-Alone Open Canopy and 36" W Table</t>
  </si>
  <si>
    <t>72" W Wall-Mount Unit with Full Canopy and 36" W Table, Veneer Accent Tier</t>
  </si>
  <si>
    <t>72" W Wall-Mount Unit with Open Canopy and 36" W Table, Veneer Accent Tier</t>
  </si>
  <si>
    <t>Table</t>
  </si>
  <si>
    <t>Tone</t>
  </si>
  <si>
    <t>Multi tone</t>
  </si>
  <si>
    <t>Total List Price</t>
  </si>
  <si>
    <t>Pic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</si>
  <si>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</si>
  <si>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</si>
  <si>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</si>
  <si>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</si>
  <si>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</si>
  <si>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</si>
  <si>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</si>
  <si>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</si>
  <si>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</si>
  <si>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</si>
  <si>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</si>
  <si>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</si>
  <si>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</si>
  <si>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</si>
  <si>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</si>
  <si>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</si>
  <si>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</si>
  <si>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</si>
  <si>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</si>
  <si>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</si>
  <si>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twentyone</t>
  </si>
  <si>
    <t>twentytwo</t>
  </si>
  <si>
    <t>twentythree</t>
  </si>
  <si>
    <t>twentyfour</t>
  </si>
  <si>
    <t>twentyfive</t>
  </si>
  <si>
    <t>twentysix</t>
  </si>
  <si>
    <t>twentynine</t>
  </si>
  <si>
    <t>thirtytwo</t>
  </si>
  <si>
    <t>thirtythree</t>
  </si>
  <si>
    <t>thirtyfour</t>
  </si>
  <si>
    <t>thirtyseven</t>
  </si>
  <si>
    <t>forty</t>
  </si>
  <si>
    <t>fortyone</t>
  </si>
  <si>
    <t>fortyfour</t>
  </si>
  <si>
    <t>fortyseven</t>
  </si>
  <si>
    <t>fortyeight</t>
  </si>
  <si>
    <t>seventy</t>
  </si>
  <si>
    <t>onehundred</t>
  </si>
  <si>
    <t>sixtytwo</t>
  </si>
  <si>
    <t>sixtythree</t>
  </si>
  <si>
    <t>sixtysix</t>
  </si>
  <si>
    <t>sixtynine</t>
  </si>
  <si>
    <t>seventythree</t>
  </si>
  <si>
    <t>seventysix</t>
  </si>
  <si>
    <t>seventynine</t>
  </si>
  <si>
    <t>eightytwo</t>
  </si>
  <si>
    <t>eightyfive</t>
  </si>
  <si>
    <t>eightyeight</t>
  </si>
  <si>
    <t>eightynine</t>
  </si>
  <si>
    <t>ninetytwo</t>
  </si>
  <si>
    <t>ninetythree</t>
  </si>
  <si>
    <t>ninetysix</t>
  </si>
  <si>
    <t>ninetyseven</t>
  </si>
  <si>
    <t>fiftyone</t>
  </si>
  <si>
    <t>fiftyfour</t>
  </si>
  <si>
    <t>fiftyfive</t>
  </si>
  <si>
    <t>fiftysix</t>
  </si>
  <si>
    <t>fiftynine</t>
  </si>
  <si>
    <t>oneone</t>
  </si>
  <si>
    <t>onefour</t>
  </si>
  <si>
    <t>onefive</t>
  </si>
  <si>
    <t>oneeight</t>
  </si>
  <si>
    <t>onenine</t>
  </si>
  <si>
    <t>onetwelve</t>
  </si>
  <si>
    <t>onethirteen</t>
  </si>
  <si>
    <t>onesixteen</t>
  </si>
  <si>
    <t>oneseventeen</t>
  </si>
  <si>
    <t>onetwenty</t>
  </si>
  <si>
    <t>onetwentyone</t>
  </si>
  <si>
    <t>onetwentyfour</t>
  </si>
  <si>
    <t>onetwentyfive</t>
  </si>
  <si>
    <t>onetwentyeight</t>
  </si>
  <si>
    <t>onetwentynine</t>
  </si>
  <si>
    <t>onethirtytwo</t>
  </si>
  <si>
    <t>onethirtythree</t>
  </si>
  <si>
    <t>onethirtysix</t>
  </si>
  <si>
    <t>onethirtyseven</t>
  </si>
  <si>
    <t>oneforty</t>
  </si>
  <si>
    <t>onefortyone</t>
  </si>
  <si>
    <t>onefortyfour</t>
  </si>
  <si>
    <t>onefortyfive</t>
  </si>
  <si>
    <t>onefortyeight</t>
  </si>
  <si>
    <t>onefortynine</t>
  </si>
  <si>
    <t>onefiftytwo</t>
  </si>
  <si>
    <t>onefiftyfive</t>
  </si>
  <si>
    <t>onefiftyeight</t>
  </si>
  <si>
    <t>onesixtyone</t>
  </si>
  <si>
    <t>onesixtyfour</t>
  </si>
  <si>
    <t>onesixtyfive</t>
  </si>
  <si>
    <t>onesixtyeight</t>
  </si>
  <si>
    <t>onesixtynine</t>
  </si>
  <si>
    <t>oneseventytwo</t>
  </si>
  <si>
    <t>oneseventythree</t>
  </si>
  <si>
    <t>oneseventysix</t>
  </si>
  <si>
    <t>oneseventyseven</t>
  </si>
  <si>
    <t>oneeighty</t>
  </si>
  <si>
    <t>oneeightyone</t>
  </si>
  <si>
    <t>oneeightyfour</t>
  </si>
  <si>
    <t>oneeightyfive</t>
  </si>
  <si>
    <t>oneeightyeight</t>
  </si>
  <si>
    <t>oneeightynine</t>
  </si>
  <si>
    <t>oneninetytwo</t>
  </si>
  <si>
    <t>oneninetythree</t>
  </si>
  <si>
    <t>oneninetysix</t>
  </si>
  <si>
    <t>oneninetyseven</t>
  </si>
  <si>
    <t>twoone</t>
  </si>
  <si>
    <t>twofour</t>
  </si>
  <si>
    <t>twofive</t>
  </si>
  <si>
    <t>twoeight</t>
  </si>
  <si>
    <t>twonine</t>
  </si>
  <si>
    <t>twotwelve</t>
  </si>
  <si>
    <t>twothirteen</t>
  </si>
  <si>
    <t>twosixteen</t>
  </si>
  <si>
    <t>twoseventeen</t>
  </si>
  <si>
    <t>twotwenty</t>
  </si>
  <si>
    <t>twotwentyone</t>
  </si>
  <si>
    <t>twotwentyfour</t>
  </si>
  <si>
    <t>twotwentyfive</t>
  </si>
  <si>
    <t>twotwentyeight</t>
  </si>
  <si>
    <t>twothirtyone</t>
  </si>
  <si>
    <t>twothirtyfour</t>
  </si>
  <si>
    <t>twothirtyseven</t>
  </si>
  <si>
    <t>twohundred</t>
  </si>
  <si>
    <t>72" Full Center Canopy (Wall unit)</t>
  </si>
  <si>
    <t>60"/72" Open Center Canopy (Wall unit)</t>
  </si>
  <si>
    <t>60" Full Center Canopy (Wall unit)</t>
  </si>
  <si>
    <t>Choose Model #</t>
  </si>
  <si>
    <t>6552-2430</t>
  </si>
  <si>
    <t>6552-2440</t>
  </si>
  <si>
    <t>6552-3030</t>
  </si>
  <si>
    <t>6552-3040</t>
  </si>
  <si>
    <t>6553-2430</t>
  </si>
  <si>
    <t>6553-2440</t>
  </si>
  <si>
    <t>6553-3030</t>
  </si>
  <si>
    <t>6553-3040</t>
  </si>
  <si>
    <t>6554-3030</t>
  </si>
  <si>
    <t>6554-3040</t>
  </si>
  <si>
    <t>6554-3630</t>
  </si>
  <si>
    <t>6554-3640</t>
  </si>
  <si>
    <t>6555-3030</t>
  </si>
  <si>
    <t>6555-3040</t>
  </si>
  <si>
    <t>6555-3630</t>
  </si>
  <si>
    <t>6555-3640</t>
  </si>
  <si>
    <t>Unit List Price</t>
  </si>
  <si>
    <t>1) Select model number.</t>
  </si>
  <si>
    <t>2) Select fabric grade for each section of specified model.</t>
  </si>
  <si>
    <t>FABRIC LOCATION &amp; YARDAGE REQUIREMENT</t>
  </si>
  <si>
    <t>SELECT MULTI-TONE OPTION</t>
  </si>
  <si>
    <t>Multi-Tone Upcharge</t>
  </si>
  <si>
    <r>
      <t xml:space="preserve">Total List Price </t>
    </r>
    <r>
      <rPr>
        <u/>
        <sz val="11"/>
        <rFont val="Arial Narrow"/>
        <family val="2"/>
      </rPr>
      <t>includes</t>
    </r>
    <r>
      <rPr>
        <sz val="11"/>
        <rFont val="Arial Narrow"/>
        <family val="2"/>
      </rPr>
      <t xml:space="preserve"> upcharges for multi-tone fabric upholstery.</t>
    </r>
  </si>
  <si>
    <t>NOTES:</t>
  </si>
  <si>
    <t>GRADE</t>
  </si>
  <si>
    <t>YDS</t>
  </si>
  <si>
    <t>As applicable, please add price of  any additional options (electrical units, premium metal finishes, moisture barrier, etc.) to the</t>
  </si>
  <si>
    <t>Total List Price for final unit calculation.</t>
  </si>
  <si>
    <t xml:space="preserve"> </t>
  </si>
  <si>
    <t xml:space="preserve">3) Select appropriate multi-tone option based on the number of differing </t>
  </si>
  <si>
    <t xml:space="preserve">    patterns, or varying colors within a single pattern, per unit.</t>
  </si>
  <si>
    <t>Assy010W</t>
  </si>
  <si>
    <t>Assy011W</t>
  </si>
  <si>
    <t>Assy012W</t>
  </si>
  <si>
    <t>Assy013W</t>
  </si>
  <si>
    <t>30" Accent Tier, White Board</t>
  </si>
  <si>
    <t>60" Accent Tier, White Board</t>
  </si>
  <si>
    <t>72" Accent Tier, White Board</t>
  </si>
  <si>
    <t>Accent Tier for Side Panel, White Board</t>
  </si>
  <si>
    <t>Output</t>
  </si>
  <si>
    <t>G8+</t>
  </si>
  <si>
    <t>Assy033</t>
  </si>
  <si>
    <t>Side Cushion</t>
  </si>
  <si>
    <t>6510-65TS</t>
  </si>
  <si>
    <t>6511-65TS</t>
  </si>
  <si>
    <t>6512-65TS</t>
  </si>
  <si>
    <t>6513-65TS</t>
  </si>
  <si>
    <t>6520-65TL</t>
  </si>
  <si>
    <t>6521-65TL</t>
  </si>
  <si>
    <t>6522-65TL</t>
  </si>
  <si>
    <t>6523-65TL</t>
  </si>
  <si>
    <t>Please note that yardage amounts are based on fabric which is plain</t>
  </si>
  <si>
    <t>(i.e. non-directional) and a full 54" wide.</t>
  </si>
  <si>
    <t>For Grade 8+ fabrics, please contact Customer Service for pricing.</t>
  </si>
  <si>
    <t>Yardage amounts are based on fabric which is plain (i.e. non-directional) and a full 54" wide.</t>
  </si>
  <si>
    <t>Revision</t>
  </si>
  <si>
    <t>Date</t>
  </si>
  <si>
    <t>By</t>
  </si>
  <si>
    <t>HD</t>
  </si>
  <si>
    <t>Finished Co-op Multi-Tone Calculator and sent out to customer service</t>
  </si>
  <si>
    <t>FABRIC GRADES</t>
  </si>
  <si>
    <t>Changed the background for Model Number and Fabric Grades (from a box to just shaded cells) since it's not appearing correctly for some people (based on the resolution of their monitor)</t>
  </si>
  <si>
    <t>Updated line drawings to reflect seam line in the middle of love seats</t>
  </si>
  <si>
    <t>Updated the header. Made it a text instead of a picture since it was coming out distorted in some people's computers. This change was done by Marketing.</t>
  </si>
  <si>
    <t>6542-2429</t>
  </si>
  <si>
    <t>6543-2429</t>
  </si>
  <si>
    <t>6552-2429</t>
  </si>
  <si>
    <t>6553-2429</t>
  </si>
  <si>
    <t>6542-2439</t>
  </si>
  <si>
    <t>6543-2439</t>
  </si>
  <si>
    <t>6552-2439</t>
  </si>
  <si>
    <t>6553-2439</t>
  </si>
  <si>
    <t>6542-3029</t>
  </si>
  <si>
    <t>6543-3029</t>
  </si>
  <si>
    <t>6544-3029</t>
  </si>
  <si>
    <t>6545-3029</t>
  </si>
  <si>
    <t>6552-3029</t>
  </si>
  <si>
    <t>6553-3029</t>
  </si>
  <si>
    <t>6554-3029</t>
  </si>
  <si>
    <t>6555-3029</t>
  </si>
  <si>
    <t>6542-3039</t>
  </si>
  <si>
    <t>6543-3039</t>
  </si>
  <si>
    <t>6544-3039</t>
  </si>
  <si>
    <t>6545-3039</t>
  </si>
  <si>
    <t>6552-3039</t>
  </si>
  <si>
    <t>6553-3039</t>
  </si>
  <si>
    <t>6554-3039</t>
  </si>
  <si>
    <t>6555-3039</t>
  </si>
  <si>
    <t>6544-3629</t>
  </si>
  <si>
    <t>6545-3629</t>
  </si>
  <si>
    <t>6554-3629</t>
  </si>
  <si>
    <t>6555-3629</t>
  </si>
  <si>
    <t>6544-3639</t>
  </si>
  <si>
    <t>6545-3639</t>
  </si>
  <si>
    <t>6554-3639</t>
  </si>
  <si>
    <t>6555-3639</t>
  </si>
  <si>
    <t>Corrected mistake for 6544-36(30/40) units. There was 2 different tables in one unit when there should only be 1 table per unit. Changed table heights in model number from 30"h to 29" and 40" to 39"</t>
  </si>
  <si>
    <t>6542-2427</t>
  </si>
  <si>
    <t>Added 64 new model numbers - 6540's and 6550's with 27" high table</t>
  </si>
  <si>
    <t>6543-2427</t>
  </si>
  <si>
    <t>6544-3027</t>
  </si>
  <si>
    <t>6545-3027</t>
  </si>
  <si>
    <t>6544-3627</t>
  </si>
  <si>
    <t>6542-3027</t>
  </si>
  <si>
    <t>6543-3027</t>
  </si>
  <si>
    <t>6545-3627</t>
  </si>
  <si>
    <t>6552-2427</t>
  </si>
  <si>
    <t>6552-3027</t>
  </si>
  <si>
    <t>6553-2427</t>
  </si>
  <si>
    <t>6553-3027</t>
  </si>
  <si>
    <t>6554-3027</t>
  </si>
  <si>
    <t>6554-3627</t>
  </si>
  <si>
    <t>6555-3027</t>
  </si>
  <si>
    <t>6555-3627</t>
  </si>
  <si>
    <t>Accent Tier - Lam</t>
  </si>
  <si>
    <t>Accent Tier - Uphl</t>
  </si>
  <si>
    <t>Accent Tier - Veneer</t>
  </si>
  <si>
    <t>Accent Tier - WB</t>
  </si>
  <si>
    <t>Table - Integrated</t>
  </si>
  <si>
    <t>Table - Stand-Alone</t>
  </si>
  <si>
    <t>Table - Wall Mount</t>
  </si>
  <si>
    <t>Base - Back Cushion</t>
  </si>
  <si>
    <t>Base - Back Panel</t>
  </si>
  <si>
    <t>Base - Seat Cushion Bottom</t>
  </si>
  <si>
    <t>Base - Seat Cushion Top</t>
  </si>
  <si>
    <t>Base - Side Cushion</t>
  </si>
  <si>
    <t>Assy059</t>
  </si>
  <si>
    <t>24" W x 27" H for Stand-Alone Canopy</t>
  </si>
  <si>
    <t>Assy060</t>
  </si>
  <si>
    <t>30" W x 27" H for Stand-Alone Canopy</t>
  </si>
  <si>
    <t>Assy061</t>
  </si>
  <si>
    <t>36" W x 27" H for Stand-Alone Canopy</t>
  </si>
  <si>
    <t>Assy062</t>
  </si>
  <si>
    <t>Assy063</t>
  </si>
  <si>
    <t>Assy064</t>
  </si>
  <si>
    <t>24" W x 27" H for Wall Mount unit</t>
  </si>
  <si>
    <t>30" W x 27" H for Wall Mount unit</t>
  </si>
  <si>
    <t>36" W x 27" H for Wall Mount unit</t>
  </si>
  <si>
    <t>Corrected mistake for 6554-xx27 units (missing assy16 and assy32)</t>
  </si>
  <si>
    <t>24" W x 29" H for Stand-Alone Canopy</t>
  </si>
  <si>
    <t>24" W x 39" H for Stand-Alone Canopy</t>
  </si>
  <si>
    <t>30" W x 29" H for Stand-Alone Canopy</t>
  </si>
  <si>
    <t>30" W x 39" H for Stand-Alone Canopy</t>
  </si>
  <si>
    <t>36" W x 29" H for Stand-Alone Canopy</t>
  </si>
  <si>
    <t>36" W x 39" H for Stand-Alone Canopy</t>
  </si>
  <si>
    <t>Corrected the descriptions for the heights for stand-alone tables (29" instead of 30" etc.), adjusted pricing for 6540 units to include the added base in the middle for support.</t>
  </si>
  <si>
    <t>Corrected pictures for 6540 units to reflect the added base in the middle for support.</t>
  </si>
  <si>
    <t>Changed yardage requirement for assy 17 from 1.5 to 2</t>
  </si>
  <si>
    <t>2017 % inc</t>
  </si>
  <si>
    <t>Updated pricing to reflect 4% increase on all upholstered Co-op units, changed the effective date to 1.1.17 since the increase will take effect on that date.</t>
  </si>
  <si>
    <t>See 12/20/16 update</t>
  </si>
  <si>
    <t>6515-65TA</t>
  </si>
  <si>
    <t>6516-65TA</t>
  </si>
  <si>
    <t>6517-65TA</t>
  </si>
  <si>
    <t>twoforty</t>
  </si>
  <si>
    <t>twofortythree</t>
  </si>
  <si>
    <t>twofortyone</t>
  </si>
  <si>
    <t>twofortyeight</t>
  </si>
  <si>
    <t>twofortyfive</t>
  </si>
  <si>
    <t>twofortyseven</t>
  </si>
  <si>
    <t>twofortysix</t>
  </si>
  <si>
    <t>twofortyfour</t>
  </si>
  <si>
    <t>twofortytwo</t>
  </si>
  <si>
    <t>6516-()-()-65TA</t>
  </si>
  <si>
    <t>Assy065</t>
  </si>
  <si>
    <t>Assy065BC</t>
  </si>
  <si>
    <t>Assy065BP</t>
  </si>
  <si>
    <t>Assy066</t>
  </si>
  <si>
    <t>Assy067</t>
  </si>
  <si>
    <t>Assy067U</t>
  </si>
  <si>
    <t>Assy068</t>
  </si>
  <si>
    <t>Assy069</t>
  </si>
  <si>
    <t>Assy070</t>
  </si>
  <si>
    <t>065 Back Cushion</t>
  </si>
  <si>
    <t>065 Back Panel</t>
  </si>
  <si>
    <t>Side Panel (Single Unit)</t>
  </si>
  <si>
    <t>Accent Tier for Side Panel, UnUphl</t>
  </si>
  <si>
    <t>Accent Tier - UnUphl</t>
  </si>
  <si>
    <t>30" Canopy (Single Unit)</t>
  </si>
  <si>
    <t>30" Full Center Canopy (Single Unit)</t>
  </si>
  <si>
    <t>Short Table (Single Unit)</t>
  </si>
  <si>
    <t>30" Seat with Back Panel (Single Unit)</t>
  </si>
  <si>
    <t>6514-65TA</t>
  </si>
  <si>
    <t>6515-()-()-65TA</t>
  </si>
  <si>
    <t>Assy071</t>
  </si>
  <si>
    <t>6518-65TA</t>
  </si>
  <si>
    <t>6518-()-()-65TA</t>
  </si>
  <si>
    <t>6519-65TA</t>
  </si>
  <si>
    <t>6519-()-()-65TA</t>
  </si>
  <si>
    <t>Public Single Lounge Unit with Integrated Table, Left As Facing</t>
  </si>
  <si>
    <t>Private Single Lounge Unit with Integrated Table, Left As Facing</t>
  </si>
  <si>
    <t>Private Single Lounge Unit with Integrated Table, Non-Upholstered Accent Tier, Left As Facing</t>
  </si>
  <si>
    <t>Private Single Lounge Unit with Full Canopy with Integrated Table, Left As Facing</t>
  </si>
  <si>
    <t>Private Single Lounge Unit with Full Canopy with Integrated Table, Non-Upholstered Accent Tier, Left As Facing</t>
  </si>
  <si>
    <t>Public Single Lounge Unit with Integrated Table, Right As Facing</t>
  </si>
  <si>
    <t>Private Single Lounge Unit with Integrated Table, Right As Facing</t>
  </si>
  <si>
    <t>Private Single Lounge Unit with Integrated Table, Non-Upholstered Accent Tier, Right As Facing</t>
  </si>
  <si>
    <t>Private Single Lounge Unit with Full Canopy with Integrated Table, Right As Facing</t>
  </si>
  <si>
    <t>Private Single Lounge Unit with Full Canopy with Integrated Table, Non-Upholstered Accent Tier, Right As Facing</t>
  </si>
  <si>
    <t>twofortynine</t>
  </si>
  <si>
    <t>071 Back Panel</t>
  </si>
  <si>
    <t>Table - Back Panel</t>
  </si>
  <si>
    <t>AW</t>
  </si>
  <si>
    <t>Added single co-op units (6514-6519)</t>
  </si>
  <si>
    <t>Added pictures for single co-op units</t>
  </si>
  <si>
    <t>6507-()-()</t>
  </si>
  <si>
    <t>6509-()-()</t>
  </si>
  <si>
    <t>6567-()-()</t>
  </si>
  <si>
    <t>6569-()-()</t>
  </si>
  <si>
    <t>Added 90 degree Co-op units</t>
  </si>
  <si>
    <t>Assy072</t>
  </si>
  <si>
    <r>
      <t>60" Seat with Back Panel (90</t>
    </r>
    <r>
      <rPr>
        <sz val="11"/>
        <color theme="1"/>
        <rFont val="Calibri"/>
        <family val="2"/>
      </rPr>
      <t>°</t>
    </r>
    <r>
      <rPr>
        <sz val="9.3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Unit)</t>
    </r>
  </si>
  <si>
    <t>Assy073</t>
  </si>
  <si>
    <t>Assy072BC</t>
  </si>
  <si>
    <t>072 Back Cushion</t>
  </si>
  <si>
    <t>072 Back Panel</t>
  </si>
  <si>
    <t>Assy072BP</t>
  </si>
  <si>
    <t>Base- Back Cushion</t>
  </si>
  <si>
    <t>Assy074</t>
  </si>
  <si>
    <t>72" Seat with Back Panel (90° Unit)</t>
  </si>
  <si>
    <t>Assy074BC</t>
  </si>
  <si>
    <t>Assy074BP</t>
  </si>
  <si>
    <t>074 Back Cushion</t>
  </si>
  <si>
    <t>074 Back Panel</t>
  </si>
  <si>
    <t>Assy075</t>
  </si>
  <si>
    <t>Assy072SCB</t>
  </si>
  <si>
    <t>Assy072SCT</t>
  </si>
  <si>
    <t>072 Seat Cushion Bottom</t>
  </si>
  <si>
    <t>072 Seat Cushion Top</t>
  </si>
  <si>
    <t>Assy074SCB</t>
  </si>
  <si>
    <t>074 Seat Cushion Bottom</t>
  </si>
  <si>
    <t>Assy074SCT</t>
  </si>
  <si>
    <t>074 Seat Cushion Top</t>
  </si>
  <si>
    <r>
      <t>Public 60" W 90</t>
    </r>
    <r>
      <rPr>
        <sz val="11"/>
        <color theme="1"/>
        <rFont val="Calibri"/>
        <family val="2"/>
      </rPr>
      <t>°</t>
    </r>
    <r>
      <rPr>
        <sz val="9.3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Unit</t>
    </r>
  </si>
  <si>
    <t>Private 60" W 90° Unit</t>
  </si>
  <si>
    <t>Private 60" W 90° Unit, Non-Upholstered Tier</t>
  </si>
  <si>
    <t>Public 72" W 90° Unit</t>
  </si>
  <si>
    <t>Private 72" W 90° Unit</t>
  </si>
  <si>
    <t>Private 72" W 90° Unit, Non-Upholstered Tier</t>
  </si>
  <si>
    <t>Public Back-to-Back 60" W 90° Unit</t>
  </si>
  <si>
    <t>Private Back-to-Back 60" W 90° Unit</t>
  </si>
  <si>
    <t>Private Back-to-Back 60" W 90° Unit, Non-Upholstered Tier</t>
  </si>
  <si>
    <t>Public Back-to-Back 72" W 90° Unit</t>
  </si>
  <si>
    <t>Private Back-to-Back 72" W 90° Unit</t>
  </si>
  <si>
    <t>Private Back-to-Back 72" W 90° Unit, Non-Upholstered Tier</t>
  </si>
  <si>
    <t>twofifty</t>
  </si>
  <si>
    <t>twofiftyone</t>
  </si>
  <si>
    <t>twofiftytwo</t>
  </si>
  <si>
    <t>twofiftythree</t>
  </si>
  <si>
    <t>twofiftyfour</t>
  </si>
  <si>
    <t>twofiftyfive</t>
  </si>
  <si>
    <t>twofiftysix</t>
  </si>
  <si>
    <t>twofiftyseven</t>
  </si>
  <si>
    <t>twofiftyeight</t>
  </si>
  <si>
    <t>twofiftynine</t>
  </si>
  <si>
    <t>twosixty</t>
  </si>
  <si>
    <t>twosixtyone</t>
  </si>
  <si>
    <t>60" Seat Back to Back With Panel  (90° Unit)</t>
  </si>
  <si>
    <t>72" Seat Back to Back With Panel  (90° Unit)</t>
  </si>
  <si>
    <t>Assy073BP</t>
  </si>
  <si>
    <t>Assy075BP</t>
  </si>
  <si>
    <t>073 Back Panel</t>
  </si>
  <si>
    <t>075 Back Panel</t>
  </si>
  <si>
    <t>Corrected top seat cushion, bottom seat cushion, and back cushion quantities for models 6566 through 6569-()-(). Added Assy073BP and Assy075BP</t>
  </si>
  <si>
    <t>Modified yardages for 90 degree Co-op units</t>
  </si>
  <si>
    <t>Added pictures of 90 degree Co-op units</t>
  </si>
  <si>
    <t>Changed model numbers to have "-()-()"</t>
  </si>
  <si>
    <t>6503-()-()</t>
  </si>
  <si>
    <t>6505-()-()</t>
  </si>
  <si>
    <t>6511-65TS-()-()</t>
  </si>
  <si>
    <t>6511-()-()</t>
  </si>
  <si>
    <t>6512-65TS-()-()</t>
  </si>
  <si>
    <t>6512-()-()</t>
  </si>
  <si>
    <t>6513-65TS-()-()</t>
  </si>
  <si>
    <t>6513-()-()</t>
  </si>
  <si>
    <t>6521-65TL-()-()</t>
  </si>
  <si>
    <t>6521-()-()</t>
  </si>
  <si>
    <t>6522-65TL-()-()</t>
  </si>
  <si>
    <t>6522-()-()</t>
  </si>
  <si>
    <t>6523-65TL-()-()</t>
  </si>
  <si>
    <t>6523-()-()</t>
  </si>
  <si>
    <t>6532-()-()</t>
  </si>
  <si>
    <t>6533-()-()</t>
  </si>
  <si>
    <t>6534-()-()</t>
  </si>
  <si>
    <t>6535-()-()</t>
  </si>
  <si>
    <t>6542-2430-()-()</t>
  </si>
  <si>
    <t>6542-2440-()-()</t>
  </si>
  <si>
    <t>6542-3030-()-()</t>
  </si>
  <si>
    <t>6542-3040-()-()</t>
  </si>
  <si>
    <t>6543-2430-()-()</t>
  </si>
  <si>
    <t>6543-2440-()-()</t>
  </si>
  <si>
    <t>6543-3030-()-()</t>
  </si>
  <si>
    <t>6543-3040-()-()</t>
  </si>
  <si>
    <t>6544-3030-()-()</t>
  </si>
  <si>
    <t>6544-3040-()-()</t>
  </si>
  <si>
    <t>6544-3630-()-()</t>
  </si>
  <si>
    <t>6544-3640-()-()</t>
  </si>
  <si>
    <t>6545-3030-()-()</t>
  </si>
  <si>
    <t>6545-3040-()-()</t>
  </si>
  <si>
    <t>6545-3630-()-()</t>
  </si>
  <si>
    <t>6545-3640-()-()</t>
  </si>
  <si>
    <t>6552-()-()</t>
  </si>
  <si>
    <t>6553-()-()</t>
  </si>
  <si>
    <t>6554-()-()</t>
  </si>
  <si>
    <t>6555-()-()</t>
  </si>
  <si>
    <t>6552-2430-()-()</t>
  </si>
  <si>
    <t>6552-2440-()-()</t>
  </si>
  <si>
    <t>6552-3030-()-()</t>
  </si>
  <si>
    <t>6552-3040-()-()</t>
  </si>
  <si>
    <t>6553-2430-()-()</t>
  </si>
  <si>
    <t>6553-2440-()-()</t>
  </si>
  <si>
    <t>6553-3030-()-()</t>
  </si>
  <si>
    <t>6553-3040-()-()</t>
  </si>
  <si>
    <t>6554-3030-()-()</t>
  </si>
  <si>
    <t>6554-3040-()-()</t>
  </si>
  <si>
    <t>6554-3630-()-()</t>
  </si>
  <si>
    <t>6554-3640-()-()</t>
  </si>
  <si>
    <t>6555-3030-()-()</t>
  </si>
  <si>
    <t>6555-3040-()-()</t>
  </si>
  <si>
    <t>6555-3630-()-()</t>
  </si>
  <si>
    <t>6555-3640-()-()</t>
  </si>
  <si>
    <t>6562-()-()</t>
  </si>
  <si>
    <t>6563-()-()</t>
  </si>
  <si>
    <t>6564-()-()</t>
  </si>
  <si>
    <t>6565-()-()</t>
  </si>
  <si>
    <t>6511-()-()-65TS</t>
  </si>
  <si>
    <t>6512-()-()-65TS</t>
  </si>
  <si>
    <t>6513-()-()-65TS</t>
  </si>
  <si>
    <t>6521-()-()-65TL</t>
  </si>
  <si>
    <t>6522-()-()-65TL</t>
  </si>
  <si>
    <t>6523-()-()-65TL</t>
  </si>
  <si>
    <t>6542-()-()-2429</t>
  </si>
  <si>
    <t>6542-()-()-2439</t>
  </si>
  <si>
    <t>6543-()-()-2429</t>
  </si>
  <si>
    <t>6543-()-()-2439</t>
  </si>
  <si>
    <t>6542-()-()-3029</t>
  </si>
  <si>
    <t>6542-()-()-3039</t>
  </si>
  <si>
    <t>6543-()-()-3029</t>
  </si>
  <si>
    <t>6543-()-()-3039</t>
  </si>
  <si>
    <t>6544-()-()-3029</t>
  </si>
  <si>
    <t>6544-()-()-3039</t>
  </si>
  <si>
    <t>6544-()-()-3629</t>
  </si>
  <si>
    <t>6544-()-()-3639</t>
  </si>
  <si>
    <t>6545-()-()-3029</t>
  </si>
  <si>
    <t>6545-()-()-3039</t>
  </si>
  <si>
    <t>6545-()-()-3629</t>
  </si>
  <si>
    <t>6545-()-()-3639</t>
  </si>
  <si>
    <t>6552-()-()-2429</t>
  </si>
  <si>
    <t>6552-()-()-2439</t>
  </si>
  <si>
    <t>6552-()-()-3029</t>
  </si>
  <si>
    <t>6552-()-()-3039</t>
  </si>
  <si>
    <t>6553-()-()-2429</t>
  </si>
  <si>
    <t>6553-()-()-2439</t>
  </si>
  <si>
    <t>6553-()-()-3029</t>
  </si>
  <si>
    <t>6553-()-()-3039</t>
  </si>
  <si>
    <t>6554-()-()-3029</t>
  </si>
  <si>
    <t>6554-()-()-3039</t>
  </si>
  <si>
    <t>6554-()-()-3629</t>
  </si>
  <si>
    <t>6554-()-()-3639</t>
  </si>
  <si>
    <t>6555-()-()-3029</t>
  </si>
  <si>
    <t>6555-()-()-3039</t>
  </si>
  <si>
    <t>6555-()-()-3629</t>
  </si>
  <si>
    <t>6555-()-()-3639</t>
  </si>
  <si>
    <t>6542-()-()-2427</t>
  </si>
  <si>
    <t>6542-()-()-3027</t>
  </si>
  <si>
    <t>6543-()-()-2427</t>
  </si>
  <si>
    <t>6543-()-()-3027</t>
  </si>
  <si>
    <t>6544-()-()-3027</t>
  </si>
  <si>
    <t>6544-()-()-3627</t>
  </si>
  <si>
    <t>6545-()-()-3027</t>
  </si>
  <si>
    <t>6545-()-()-3627</t>
  </si>
  <si>
    <t>6552-()-()-2427</t>
  </si>
  <si>
    <t>6552-()-()-3027</t>
  </si>
  <si>
    <t>6553-()-()-2427</t>
  </si>
  <si>
    <t>6553-()-()-3027</t>
  </si>
  <si>
    <t>6554-()-()-3027</t>
  </si>
  <si>
    <t>6554-()-()-3627</t>
  </si>
  <si>
    <t>6555-()-()-3027</t>
  </si>
  <si>
    <t>6555-()-()-3627</t>
  </si>
  <si>
    <t>Private Lounge Unit, Non-Upholstered Accent Tier</t>
  </si>
  <si>
    <t>Private Lounge Unit with Integrated Table, Non-Upholstered Accent Tier</t>
  </si>
  <si>
    <t>Added "effective date" in the print area</t>
  </si>
  <si>
    <t>BN</t>
  </si>
  <si>
    <t>Added 6521-()-()-65TL to Matrix tab, was not showing up</t>
  </si>
  <si>
    <t>2018 % inc</t>
  </si>
  <si>
    <t>Updated calculator to 2018 pricing, increase of 1.04%</t>
  </si>
  <si>
    <t>Tariff % inc</t>
  </si>
  <si>
    <t>Tariff</t>
  </si>
  <si>
    <t>Updated calculator for 5% tariff pricing,</t>
  </si>
  <si>
    <t>Corrected error that occurred when 8+ fabric was being selected</t>
  </si>
  <si>
    <t>Price</t>
  </si>
  <si>
    <t>2020 Increace</t>
  </si>
  <si>
    <t>Saved as 2020 calculator with 5% increase across all assemblies</t>
  </si>
  <si>
    <t>Updated fabric for 2020 pricing</t>
  </si>
  <si>
    <t>Updated multicharge upcharges in notes</t>
  </si>
  <si>
    <t>Fixed description on 6514-6519 models</t>
  </si>
  <si>
    <t>Updated all descriptions to match pricelist</t>
  </si>
  <si>
    <t>Private Lounge Unit with Full Canopy, Non Upholstered Accent Tier</t>
  </si>
  <si>
    <t>Private Lounge unit with Partial Canopy</t>
  </si>
  <si>
    <t>Private Lounge Unit with Partial Canopy, Non-Upholstered Accent Tier</t>
  </si>
  <si>
    <t>Public Single Work Module, Left Side as Seated, as Facing</t>
  </si>
  <si>
    <t>Private Single Work Module, Left Side Seated, as Facing</t>
  </si>
  <si>
    <t>Private Single Work Module, Non-Upholstered Accent Tier, Left Side Seated, as Facing</t>
  </si>
  <si>
    <t>Private Single Work Module, Full Canopy, Left Side Seated, as Facing</t>
  </si>
  <si>
    <t>Private Single Work Module, Full Canopy, Non-Upholstered Accent Tier, Left Side Seated, as Facing</t>
  </si>
  <si>
    <t>Public Single Work Module, Right Side as Seated, as Facing</t>
  </si>
  <si>
    <t>Private Single Work Module, Right Side Seated, as Facing</t>
  </si>
  <si>
    <t>Private Single Work Module, Non-Upholstered Accent Tier, Right Side Seated, as Facing</t>
  </si>
  <si>
    <t>Private Single Work Module, Full Canopy, Right Side Seated, as Facing</t>
  </si>
  <si>
    <t>Private Single Work Module, Full Canopy, Non-Upholstered Accent Tier, Right Side Seated, as Facing</t>
  </si>
  <si>
    <t>Public Love Seat Unit</t>
  </si>
  <si>
    <t>Public Love Seat Unit with Integrated Table</t>
  </si>
  <si>
    <t>Private Love Seat Unit</t>
  </si>
  <si>
    <t>Private Love Seat Unit, Non-Upholstered Accent Tier</t>
  </si>
  <si>
    <t>Private Love Seat Unit with Integrated Table</t>
  </si>
  <si>
    <t>Private Love Seat Unit with Integrated Table, Non-Upholstered Accent Tier</t>
  </si>
  <si>
    <t>Private Love Seat Unit with Full Canopy</t>
  </si>
  <si>
    <t>Private Love Seat Unit with Full Canopy, Non-Uphostered Accent Tier</t>
  </si>
  <si>
    <t>Private Love Seat with Open Canopy</t>
  </si>
  <si>
    <t>Private Love Seat Unit with Open Canopy, Non-Upholstered Accent Tier</t>
  </si>
  <si>
    <t>60" D Booth with Full Canopy</t>
  </si>
  <si>
    <t>60" D Booth with Full Canopy, Non-Upholstered Accent Tier</t>
  </si>
  <si>
    <t>60" D Booth with Open Canopy</t>
  </si>
  <si>
    <t>60" D Booth with Open Canopy, Non-Upholstered Accent Tier</t>
  </si>
  <si>
    <t>72" D Booth with Full Canopy</t>
  </si>
  <si>
    <t>72" D Booth with Full Canopy, Non-Upholstered Accent Tier</t>
  </si>
  <si>
    <t>72" D Booth with Open Canopy</t>
  </si>
  <si>
    <t>72" D Booth with Open Canopy, Non-Upholstered Accent Tier</t>
  </si>
  <si>
    <t>60" W Wall-Mount Unit with Full Canopy, Panel Only</t>
  </si>
  <si>
    <t>60" W Wall-Mount Unit with Open Canopy, Panel Only</t>
  </si>
  <si>
    <t>72" W Wall-Mount Unit with Full Canopy, Panel Only</t>
  </si>
  <si>
    <t>72" W Wall-Mount Unit with Open Canopy, Panel Only</t>
  </si>
  <si>
    <t>60" W Wall-Mount Seating Unit with Full Canopy</t>
  </si>
  <si>
    <t>60" W Wall-Mount Seating Unit, Full Canopy, Non-Upholstered Accent Tier</t>
  </si>
  <si>
    <t>60" W Wall-Mount Seating Unit with Open Canopy</t>
  </si>
  <si>
    <t>60" W Wall-Mount Seating Unit, Open Canopy, Non-Upholstered Accent Tier</t>
  </si>
  <si>
    <t>72" W Wall-Mount Seating Unit with Full Canopy</t>
  </si>
  <si>
    <t>72" W Wall-Mount Seating Unit, Full Canopy, Non-Uphostered Accent Tier</t>
  </si>
  <si>
    <t>72" W Wall-Mount Seating Unit with Open Canopy</t>
  </si>
  <si>
    <t>72" W Wall-Mount Seating Unit, Open Canopy, Non-Upholstered Accent Tier</t>
  </si>
  <si>
    <t>60" W Public Back-to-Back Seating Unit, 90-Degree Back</t>
  </si>
  <si>
    <t>60" W Private Back-to-Back Seating Unit, 90-Degree Back</t>
  </si>
  <si>
    <t>60" W Private Back-to-Back Seating Unit, 90-Degree Back, Non-Upholstered Tier</t>
  </si>
  <si>
    <t>72" W Public Back-to-Back Seating Unit, 90-Degree Back</t>
  </si>
  <si>
    <t>72" W Private Back-to-Back Seating Unit, 90-Degree back</t>
  </si>
  <si>
    <t>72" W Private Back-to-Back Seating Unit, 90-Degree Back, Non-Upholstered Tier</t>
  </si>
  <si>
    <t>60" W Seating Unit</t>
  </si>
  <si>
    <t>60" W Private Seating Unit</t>
  </si>
  <si>
    <t>60" W Private Seating Unit, Non-Upholstered Tier</t>
  </si>
  <si>
    <t>72" W Seating Unit</t>
  </si>
  <si>
    <t>72" W Private Seating Unit</t>
  </si>
  <si>
    <t>72" W Private Seating Unit, Non-Upholstered Tier</t>
  </si>
  <si>
    <t>60" W Private Seating Unit, Non-Upholstered Tier, 90-Degree Back</t>
  </si>
  <si>
    <t>72" W Private Seating Unit, Non-Upholstered Tier, 90-Degree Back</t>
  </si>
  <si>
    <t>60" W Seating Unit, 90-Degree Back</t>
  </si>
  <si>
    <t>60" W Private Seating Unit, 90-Degree Back</t>
  </si>
  <si>
    <t>72" W Seating Unit, 90-Degree Back</t>
  </si>
  <si>
    <t>72" W Private Seating Unit, 90-Degree Back</t>
  </si>
  <si>
    <t>Private Lounge Unit with Full Canopy, Integrated Table</t>
  </si>
  <si>
    <t>Private Lounge Unit with Full Canopy, Integrated Table, Non-Upholstered Accent Tier</t>
  </si>
  <si>
    <t>Private Lounge Unit with Partial Canopy, integrated Table</t>
  </si>
  <si>
    <t>Private Lounge Unit with Canopy, Integrated Table, Non-Upholstered Accent Tier</t>
  </si>
  <si>
    <t>Private Love Seat Unit with Full Canopy, Integrated Table</t>
  </si>
  <si>
    <t>Private Love Seat Unit with Full Canopy, Integrated Table, Non-Upholstered Accent Tier</t>
  </si>
  <si>
    <t>Private Love Seat with Open Canopy, Integrated Table</t>
  </si>
  <si>
    <t>Private Love Seat Unit with Open Canopy, Integrated Table, Non-Upholstered Accent Tier</t>
  </si>
  <si>
    <t>60" D Stand-Alone Full Canopy with 24" W Table (27" H)</t>
  </si>
  <si>
    <t>60" D Stand-Alone Full Canopy with 24" W Table (27" H), Non-Upholstered Accent Tier</t>
  </si>
  <si>
    <t>60" D Stand-Alone Full Canopy with 24" W Table (29" H)</t>
  </si>
  <si>
    <t>60" D Stand-Alone Full Canopy with 24" W Table (29" H), Non-Upholstered Accent Tier</t>
  </si>
  <si>
    <t>60" D Stand-Alone Full Canopy with 24" W Table (39" H)</t>
  </si>
  <si>
    <t>60" D Stand-Alone Full Canopy with 24" W Table (39" H), Non-Upholstered Accent Tier</t>
  </si>
  <si>
    <t>60" D Stand-Alone Full Canopy with 30" W Table (27" H)</t>
  </si>
  <si>
    <t>60" D Stand-Alone Full Canopy with 30" W Table (27" H), Non-Upholstered Accent Tier</t>
  </si>
  <si>
    <t>60" D Stand-Alone Full Canopy with 30" W Table (29" H)</t>
  </si>
  <si>
    <t>60" D Stand-Alone Full Canopy with 30" W Table (29" H), Non-Upholstered Accent Tier</t>
  </si>
  <si>
    <t>60" D Stand-Alone Full Canopy with 30" W Table (39" H)</t>
  </si>
  <si>
    <t>60" D Stand-Alone Full Canopy with 30" W Table (39" H), Non-Upholstered Accent Tier</t>
  </si>
  <si>
    <t>60" D Stand-Alone Open Canopy with 24" W Table (27" H)</t>
  </si>
  <si>
    <t>60" D Stand-Alone Open Canopy with 24" W Table (27" H), Non-Upholstered Accent Tier</t>
  </si>
  <si>
    <t>60" D Stand-Alone Open Canopy with 24" W Table (29" H)</t>
  </si>
  <si>
    <t>60" D Stand-Alone Open Canopy with 24" W Table (29" H), Non-Upholstered Accent Tier</t>
  </si>
  <si>
    <t>60" D Stand-Alone Open Canopy with 24" W Table (39" H)</t>
  </si>
  <si>
    <t>60" D Stand-Alone Open Canopy with 24" W Table (39" H), Non-Upholstered Accent Tier</t>
  </si>
  <si>
    <t>60" D Stand-Alone Open Canopy with 30" W Table (27" H)</t>
  </si>
  <si>
    <t>60" D Stand-Alone Open Canopy with 30" W Table (27" H), Non-Upholstered Accent Tier</t>
  </si>
  <si>
    <t>60" D Stand-Alone Open Canopy with 30" W Table (29" H)</t>
  </si>
  <si>
    <t>60" D Stand-Alone Open Canopy with 30" W Table (29" H), Non-Upholstered Accent Tier</t>
  </si>
  <si>
    <t>60" D Stand-Alone Open Canopy with 30" W Table (39" H)</t>
  </si>
  <si>
    <t>60" D Stand-Alone Open Canopy with 30" W Table (39" H), Non-Upholstered Accent Tier</t>
  </si>
  <si>
    <t>72" D Stand-Alone Full Canopy with 30" W Table (27" H)</t>
  </si>
  <si>
    <t>72" D Stand-Alone Full Canopy with 30" W Table (27" H), Non-Upholstered Accent Tier</t>
  </si>
  <si>
    <t>72" D Stand-Alone Full Canopy with 30" W Table (29" H)</t>
  </si>
  <si>
    <t>72" D Stand-Alone Full Canopy with 30" W Table (29" H), Non-Upholstered Accent Tier</t>
  </si>
  <si>
    <t>72" D Stand-Alone Full Canopy with 30" W Table (39" H)</t>
  </si>
  <si>
    <t>72" D Stand-Alone Full Canopy with 30" W Table (39" H), Non-Upholstered Accent Tier</t>
  </si>
  <si>
    <t>72" D Stand-Alone Full Canopy with 36" W Table (27" H)</t>
  </si>
  <si>
    <t>72" D Stand-Alone Full Canopy with 36" W Table (27" H), Non-Upholstered Accent Tier</t>
  </si>
  <si>
    <t>72" D Stand-Alone Full Canopy with 36" W Table (29" H)</t>
  </si>
  <si>
    <t>72" D Stand-Alone Full Canopy with 36" W Table (29" H), Non-Upholstered Accent Tier</t>
  </si>
  <si>
    <t>72" D Stand-Alone Full Canopy with 36" W Table (39" H)</t>
  </si>
  <si>
    <t>72" D Stand-Alone Full Canopy with 36" W Table (39" H), Non-Upholstered Accent Tier</t>
  </si>
  <si>
    <t>72" D Stand-Alone Open Canopy with 30" W Table (27" H)</t>
  </si>
  <si>
    <t>72" D Stand-Alone Open Canopy with 30" W Table (27" H), Non-Upholstered Accent Tier</t>
  </si>
  <si>
    <t>72" D Stand-Alone Open Canopy with 30" W Table (29" H)</t>
  </si>
  <si>
    <t>72" D Stand-Alone Open Canopy with 30" W Table (29" H), Non-Upholstered Accent Tier</t>
  </si>
  <si>
    <t>72" D Stand-Alone Open Canopy with 30" W Table (39" H)</t>
  </si>
  <si>
    <t>72" D Stand-Alone Open Canopy with 30" W Table (39" H), Non-Upholstered Accent Tier</t>
  </si>
  <si>
    <t>72" D Stand-Alone Open Canopy with 36" W Table (27" H)</t>
  </si>
  <si>
    <t>72" D Stand-Alone Open Canopy with 36" W Table (27" H), Non-Upholstered Accent Tier</t>
  </si>
  <si>
    <t>72" D Stand-Alone Open Canopy with 36" W Table (29" H)</t>
  </si>
  <si>
    <t>72" D Stand-Alone Open Canopy with 36" W Table (29" H), Non-Upholstered Accent Tier</t>
  </si>
  <si>
    <t>72" D Stand-Alone Open Canopy with 36" W Table (39" H)</t>
  </si>
  <si>
    <t>72" D Stand-Alone Open Canopy with 36" W Table (39" H), Non-Upholstered Accent Tier</t>
  </si>
  <si>
    <t>60" W Wall-Mount Unit with Full Canopy, Non-Upholstered Accent Tier, Panel Only</t>
  </si>
  <si>
    <t>60" W Wall-Mount Unit with Full Canopy, 24" W x 61" L x 27" H Table</t>
  </si>
  <si>
    <t>60" W Wall-Mount Unit with Full Canopy, Non-Upholstered Accent Tier,  24" W Table</t>
  </si>
  <si>
    <t>60" W Wall-Mount Unit with Full Canopy,  24" W Table</t>
  </si>
  <si>
    <t>60" W Wall-Mount Unit with Full Canopy,  30" W Table</t>
  </si>
  <si>
    <t>60" W Wall-Mount Unit with Full Canopy, Non-Upholstered Accent Tier,  30" W Table</t>
  </si>
  <si>
    <t>60" W Wall-Mount Unit with Open Canopy, Non-Upholstered Accent Tier, Panel Only</t>
  </si>
  <si>
    <t>60" W Wall-Mount Unit with Open Canopy,  24" W Table</t>
  </si>
  <si>
    <t>60" W Wall-Mount Unit with Open Canopy, Non-Upholstered Accent Tier,  24" W Table</t>
  </si>
  <si>
    <t>60" W Wall-Mount Unit with Open Canopy,  30" W Table</t>
  </si>
  <si>
    <t>60" W Wall-Mount Unit with Open Canopy, Non-Upholstered Accent Tier,  30" W Table</t>
  </si>
  <si>
    <t>72" W Wall-Mount Unit with Full Canopy, Non-Upholstered Accent Tier, Panel Only</t>
  </si>
  <si>
    <t>72" W Wall-Mount Unit with Full Canopy, 24" W Table</t>
  </si>
  <si>
    <t>72" W Wall-Mount Unit with Full Canopy, Non-Upholstered Accent Tier,  30" W Table</t>
  </si>
  <si>
    <t>72" W Wall-Mount Unit with Full Canopy, 30" W Table</t>
  </si>
  <si>
    <t>72" W Wall-Mount Unit with Full Canopy, Non-Upholstered Accent Tier,  36" W Table</t>
  </si>
  <si>
    <t>72" W Wall-Mount Unit with Open Canopy, Non-Upholstered Accent Tier, Panel Only</t>
  </si>
  <si>
    <t>72" W Wall-Mount Unit with Open Canopy, 24" W Table</t>
  </si>
  <si>
    <t>72" W Wall-Mount Unit with Open Canopy, Non-Upholstered Accent Tier,  30" W Table</t>
  </si>
  <si>
    <t>72" W Wall-Mount Unit with Open Canopy, 30" W Table</t>
  </si>
  <si>
    <t>72" W Wall-Mount Unit with Open Canopy, 36" W Table</t>
  </si>
  <si>
    <t>72" W Wall-Mount Unit with Open Canopy, Non-Upholstered Accent Tier,  36" W Table</t>
  </si>
  <si>
    <t>GA</t>
  </si>
  <si>
    <t>Added Grade A fabric</t>
  </si>
  <si>
    <t>Fixed error on grade 8+ fabric</t>
  </si>
  <si>
    <t>2021 Increase</t>
  </si>
  <si>
    <t>``</t>
  </si>
  <si>
    <t>NT</t>
  </si>
  <si>
    <t>Updated to 2021 pricing (5% increase for everything)</t>
  </si>
  <si>
    <t>2021.2 Increase</t>
  </si>
  <si>
    <t>Updated to 2022 pricing (5% increase for everything -- yardage cost increase as well)</t>
  </si>
  <si>
    <t>2022 Increase</t>
  </si>
  <si>
    <t>Effective Date: February 1st, 2022</t>
  </si>
  <si>
    <t>For two fabric combinations, $175 List per unit is applied.</t>
  </si>
  <si>
    <t>For three fabric combinations, $225 List per unit is applied.</t>
  </si>
  <si>
    <t>For four or more fabric combinations, $300 List per unit is applied.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</si>
</sst>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embo"/>
      <family val="1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MetaBookLF-Roman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u/>
      <sz val="11"/>
      <name val="Arial Narrow"/>
      <family val="2"/>
    </font>
    <font>
      <b/>
      <sz val="11"/>
      <name val="Calibri"/>
      <family val="2"/>
      <scheme val="minor"/>
    </font>
    <font>
      <sz val="8"/>
      <name val="Arial Narrow"/>
      <family val="2"/>
    </font>
    <font>
      <sz val="11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</fonts>
  <fills count="5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8">
    <xf numFmtId="0" fontId="0" fillId="0" borderId="0"/>
    <xf numFmtId="0" fontId="2" fillId="0" borderId="0"/>
    <xf numFmtId="0" fontId="20" fillId="30" borderId="0" applyNumberFormat="0" applyBorder="0" applyAlignment="0" applyProtection="0"/>
    <xf numFmtId="0" fontId="34" fillId="30" borderId="0" applyNumberFormat="0" applyBorder="0" applyAlignment="0" applyProtection="0"/>
    <xf numFmtId="0" fontId="20" fillId="31" borderId="0" applyNumberFormat="0" applyBorder="0" applyAlignment="0" applyProtection="0"/>
    <xf numFmtId="0" fontId="34" fillId="31" borderId="0" applyNumberFormat="0" applyBorder="0" applyAlignment="0" applyProtection="0"/>
    <xf numFmtId="0" fontId="20" fillId="32" borderId="0" applyNumberFormat="0" applyBorder="0" applyAlignment="0" applyProtection="0"/>
    <xf numFmtId="0" fontId="34" fillId="32" borderId="0" applyNumberFormat="0" applyBorder="0" applyAlignment="0" applyProtection="0"/>
    <xf numFmtId="0" fontId="20" fillId="33" borderId="0" applyNumberFormat="0" applyBorder="0" applyAlignment="0" applyProtection="0"/>
    <xf numFmtId="0" fontId="34" fillId="33" borderId="0" applyNumberFormat="0" applyBorder="0" applyAlignment="0" applyProtection="0"/>
    <xf numFmtId="0" fontId="20" fillId="24" borderId="0" applyNumberFormat="0" applyBorder="0" applyAlignment="0" applyProtection="0"/>
    <xf numFmtId="0" fontId="34" fillId="34" borderId="0" applyNumberFormat="0" applyBorder="0" applyAlignment="0" applyProtection="0"/>
    <xf numFmtId="0" fontId="20" fillId="28" borderId="0" applyNumberFormat="0" applyBorder="0" applyAlignment="0" applyProtection="0"/>
    <xf numFmtId="0" fontId="34" fillId="35" borderId="0" applyNumberFormat="0" applyBorder="0" applyAlignment="0" applyProtection="0"/>
    <xf numFmtId="0" fontId="20" fillId="15" borderId="0" applyNumberFormat="0" applyBorder="0" applyAlignment="0" applyProtection="0"/>
    <xf numFmtId="0" fontId="34" fillId="36" borderId="0" applyNumberFormat="0" applyBorder="0" applyAlignment="0" applyProtection="0"/>
    <xf numFmtId="0" fontId="20" fillId="18" borderId="0" applyNumberFormat="0" applyBorder="0" applyAlignment="0" applyProtection="0"/>
    <xf numFmtId="0" fontId="34" fillId="37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22" borderId="0" applyNumberFormat="0" applyBorder="0" applyAlignment="0" applyProtection="0"/>
    <xf numFmtId="0" fontId="34" fillId="33" borderId="0" applyNumberFormat="0" applyBorder="0" applyAlignment="0" applyProtection="0"/>
    <xf numFmtId="0" fontId="20" fillId="25" borderId="0" applyNumberFormat="0" applyBorder="0" applyAlignment="0" applyProtection="0"/>
    <xf numFmtId="0" fontId="34" fillId="36" borderId="0" applyNumberFormat="0" applyBorder="0" applyAlignment="0" applyProtection="0"/>
    <xf numFmtId="0" fontId="20" fillId="29" borderId="0" applyNumberFormat="0" applyBorder="0" applyAlignment="0" applyProtection="0"/>
    <xf numFmtId="0" fontId="34" fillId="39" borderId="0" applyNumberFormat="0" applyBorder="0" applyAlignment="0" applyProtection="0"/>
    <xf numFmtId="0" fontId="33" fillId="16" borderId="0" applyNumberFormat="0" applyBorder="0" applyAlignment="0" applyProtection="0"/>
    <xf numFmtId="0" fontId="35" fillId="40" borderId="0" applyNumberFormat="0" applyBorder="0" applyAlignment="0" applyProtection="0"/>
    <xf numFmtId="0" fontId="33" fillId="19" borderId="0" applyNumberFormat="0" applyBorder="0" applyAlignment="0" applyProtection="0"/>
    <xf numFmtId="0" fontId="35" fillId="37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41" borderId="0" applyNumberFormat="0" applyBorder="0" applyAlignment="0" applyProtection="0"/>
    <xf numFmtId="0" fontId="35" fillId="41" borderId="0" applyNumberFormat="0" applyBorder="0" applyAlignment="0" applyProtection="0"/>
    <xf numFmtId="0" fontId="33" fillId="26" borderId="0" applyNumberFormat="0" applyBorder="0" applyAlignment="0" applyProtection="0"/>
    <xf numFmtId="0" fontId="35" fillId="42" borderId="0" applyNumberFormat="0" applyBorder="0" applyAlignment="0" applyProtection="0"/>
    <xf numFmtId="0" fontId="33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4" borderId="0" applyNumberFormat="0" applyBorder="0" applyAlignment="0" applyProtection="0"/>
    <xf numFmtId="0" fontId="35" fillId="44" borderId="0" applyNumberFormat="0" applyBorder="0" applyAlignment="0" applyProtection="0"/>
    <xf numFmtId="0" fontId="33" fillId="17" borderId="0" applyNumberFormat="0" applyBorder="0" applyAlignment="0" applyProtection="0"/>
    <xf numFmtId="0" fontId="35" fillId="45" borderId="0" applyNumberFormat="0" applyBorder="0" applyAlignment="0" applyProtection="0"/>
    <xf numFmtId="0" fontId="33" fillId="20" borderId="0" applyNumberFormat="0" applyBorder="0" applyAlignment="0" applyProtection="0"/>
    <xf numFmtId="0" fontId="35" fillId="46" borderId="0" applyNumberFormat="0" applyBorder="0" applyAlignment="0" applyProtection="0"/>
    <xf numFmtId="0" fontId="33" fillId="21" borderId="0" applyNumberFormat="0" applyBorder="0" applyAlignment="0" applyProtection="0"/>
    <xf numFmtId="0" fontId="35" fillId="41" borderId="0" applyNumberFormat="0" applyBorder="0" applyAlignment="0" applyProtection="0"/>
    <xf numFmtId="0" fontId="33" fillId="23" borderId="0" applyNumberFormat="0" applyBorder="0" applyAlignment="0" applyProtection="0"/>
    <xf numFmtId="0" fontId="35" fillId="42" borderId="0" applyNumberFormat="0" applyBorder="0" applyAlignment="0" applyProtection="0"/>
    <xf numFmtId="0" fontId="33" fillId="27" borderId="0" applyNumberFormat="0" applyBorder="0" applyAlignment="0" applyProtection="0"/>
    <xf numFmtId="0" fontId="35" fillId="47" borderId="0" applyNumberFormat="0" applyBorder="0" applyAlignment="0" applyProtection="0"/>
    <xf numFmtId="0" fontId="25" fillId="8" borderId="0" applyNumberFormat="0" applyBorder="0" applyAlignment="0" applyProtection="0"/>
    <xf numFmtId="0" fontId="36" fillId="31" borderId="0" applyNumberFormat="0" applyBorder="0" applyAlignment="0" applyProtection="0"/>
    <xf numFmtId="0" fontId="28" fillId="11" borderId="19" applyNumberFormat="0" applyAlignment="0" applyProtection="0"/>
    <xf numFmtId="0" fontId="37" fillId="48" borderId="25" applyNumberFormat="0" applyAlignment="0" applyProtection="0"/>
    <xf numFmtId="0" fontId="30" fillId="12" borderId="22" applyNumberFormat="0" applyAlignment="0" applyProtection="0"/>
    <xf numFmtId="0" fontId="38" fillId="49" borderId="26" applyNumberFormat="0" applyAlignment="0" applyProtection="0"/>
    <xf numFmtId="43" fontId="20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40" fillId="32" borderId="0" applyNumberFormat="0" applyBorder="0" applyAlignment="0" applyProtection="0"/>
    <xf numFmtId="0" fontId="21" fillId="0" borderId="16" applyNumberFormat="0" applyFill="0" applyAlignment="0" applyProtection="0"/>
    <xf numFmtId="0" fontId="41" fillId="0" borderId="27" applyNumberFormat="0" applyFill="0" applyAlignment="0" applyProtection="0"/>
    <xf numFmtId="0" fontId="22" fillId="0" borderId="17" applyNumberFormat="0" applyFill="0" applyAlignment="0" applyProtection="0"/>
    <xf numFmtId="0" fontId="42" fillId="0" borderId="28" applyNumberFormat="0" applyFill="0" applyAlignment="0" applyProtection="0"/>
    <xf numFmtId="0" fontId="23" fillId="0" borderId="18" applyNumberFormat="0" applyFill="0" applyAlignment="0" applyProtection="0"/>
    <xf numFmtId="0" fontId="43" fillId="0" borderId="29" applyNumberFormat="0" applyFill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10" borderId="19" applyNumberFormat="0" applyAlignment="0" applyProtection="0"/>
    <xf numFmtId="0" fontId="44" fillId="35" borderId="25" applyNumberFormat="0" applyAlignment="0" applyProtection="0"/>
    <xf numFmtId="0" fontId="29" fillId="0" borderId="21" applyNumberFormat="0" applyFill="0" applyAlignment="0" applyProtection="0"/>
    <xf numFmtId="0" fontId="45" fillId="0" borderId="30" applyNumberFormat="0" applyFill="0" applyAlignment="0" applyProtection="0"/>
    <xf numFmtId="0" fontId="52" fillId="9" borderId="0" applyNumberFormat="0" applyBorder="0" applyAlignment="0" applyProtection="0"/>
    <xf numFmtId="0" fontId="46" fillId="50" borderId="0" applyNumberFormat="0" applyBorder="0" applyAlignment="0" applyProtection="0"/>
    <xf numFmtId="0" fontId="20" fillId="0" borderId="0"/>
    <xf numFmtId="0" fontId="20" fillId="0" borderId="0"/>
    <xf numFmtId="0" fontId="51" fillId="0" borderId="0"/>
    <xf numFmtId="0" fontId="2" fillId="0" borderId="0"/>
    <xf numFmtId="0" fontId="51" fillId="0" borderId="0"/>
    <xf numFmtId="0" fontId="34" fillId="0" borderId="0"/>
    <xf numFmtId="0" fontId="20" fillId="0" borderId="0"/>
    <xf numFmtId="0" fontId="2" fillId="0" borderId="0"/>
    <xf numFmtId="0" fontId="34" fillId="13" borderId="23" applyNumberFormat="0" applyFont="0" applyAlignment="0" applyProtection="0"/>
    <xf numFmtId="0" fontId="34" fillId="51" borderId="31" applyNumberFormat="0" applyFont="0" applyAlignment="0" applyProtection="0"/>
    <xf numFmtId="0" fontId="27" fillId="11" borderId="20" applyNumberFormat="0" applyAlignment="0" applyProtection="0"/>
    <xf numFmtId="0" fontId="47" fillId="48" borderId="32" applyNumberFormat="0" applyAlignment="0" applyProtection="0"/>
    <xf numFmtId="0" fontId="5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9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0" fillId="0" borderId="0"/>
    <xf numFmtId="0" fontId="20" fillId="0" borderId="0"/>
    <xf numFmtId="44" fontId="34" fillId="0" borderId="0" applyFont="0" applyFill="0" applyBorder="0" applyAlignment="0" applyProtection="0"/>
    <xf numFmtId="0" fontId="54" fillId="0" borderId="0"/>
    <xf numFmtId="9" fontId="34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 indent="1"/>
    </xf>
    <xf numFmtId="0" fontId="0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6" fillId="0" borderId="4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left"/>
      <protection hidden="1"/>
    </xf>
    <xf numFmtId="0" fontId="8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Protection="1">
      <protection hidden="1"/>
    </xf>
    <xf numFmtId="0" fontId="9" fillId="0" borderId="0" xfId="0" applyFont="1" applyFill="1" applyProtection="1">
      <protection hidden="1"/>
    </xf>
    <xf numFmtId="0" fontId="10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Fill="1" applyBorder="1" applyAlignment="1" applyProtection="1">
      <protection hidden="1"/>
    </xf>
    <xf numFmtId="164" fontId="8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protection hidden="1"/>
    </xf>
    <xf numFmtId="164" fontId="9" fillId="2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left" indent="2"/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165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2" fillId="3" borderId="3" xfId="1" applyFont="1" applyFill="1" applyBorder="1" applyAlignment="1">
      <alignment horizontal="center"/>
    </xf>
    <xf numFmtId="14" fontId="3" fillId="0" borderId="7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7" xfId="1" applyFont="1" applyBorder="1"/>
    <xf numFmtId="0" fontId="8" fillId="4" borderId="0" xfId="0" applyFont="1" applyFill="1" applyBorder="1" applyProtection="1">
      <protection hidden="1"/>
    </xf>
    <xf numFmtId="0" fontId="9" fillId="4" borderId="0" xfId="0" applyFont="1" applyFill="1" applyBorder="1" applyAlignment="1" applyProtection="1">
      <alignment horizontal="left" indent="2"/>
      <protection hidden="1"/>
    </xf>
    <xf numFmtId="0" fontId="8" fillId="4" borderId="8" xfId="0" applyFont="1" applyFill="1" applyBorder="1" applyProtection="1">
      <protection hidden="1"/>
    </xf>
    <xf numFmtId="0" fontId="9" fillId="4" borderId="9" xfId="0" applyFont="1" applyFill="1" applyBorder="1" applyProtection="1">
      <protection hidden="1"/>
    </xf>
    <xf numFmtId="0" fontId="8" fillId="4" borderId="9" xfId="0" applyFont="1" applyFill="1" applyBorder="1" applyProtection="1">
      <protection hidden="1"/>
    </xf>
    <xf numFmtId="0" fontId="8" fillId="4" borderId="10" xfId="0" applyFont="1" applyFill="1" applyBorder="1" applyProtection="1">
      <protection hidden="1"/>
    </xf>
    <xf numFmtId="0" fontId="9" fillId="4" borderId="11" xfId="0" applyFont="1" applyFill="1" applyBorder="1" applyAlignment="1" applyProtection="1">
      <alignment horizontal="left" indent="1"/>
      <protection hidden="1"/>
    </xf>
    <xf numFmtId="0" fontId="8" fillId="4" borderId="12" xfId="0" applyFont="1" applyFill="1" applyBorder="1" applyProtection="1">
      <protection hidden="1"/>
    </xf>
    <xf numFmtId="0" fontId="8" fillId="4" borderId="13" xfId="0" applyFont="1" applyFill="1" applyBorder="1" applyProtection="1">
      <protection hidden="1"/>
    </xf>
    <xf numFmtId="0" fontId="8" fillId="4" borderId="14" xfId="0" applyFont="1" applyFill="1" applyBorder="1" applyProtection="1">
      <protection hidden="1"/>
    </xf>
    <xf numFmtId="0" fontId="8" fillId="4" borderId="15" xfId="0" applyFont="1" applyFill="1" applyBorder="1" applyProtection="1">
      <protection hidden="1"/>
    </xf>
    <xf numFmtId="0" fontId="8" fillId="4" borderId="11" xfId="0" applyFont="1" applyFill="1" applyBorder="1" applyProtection="1">
      <protection hidden="1"/>
    </xf>
    <xf numFmtId="0" fontId="9" fillId="4" borderId="11" xfId="0" applyFont="1" applyFill="1" applyBorder="1" applyAlignment="1" applyProtection="1">
      <alignment horizontal="left" indent="2"/>
      <protection hidden="1"/>
    </xf>
    <xf numFmtId="14" fontId="13" fillId="0" borderId="0" xfId="0" applyNumberFormat="1" applyFont="1" applyFill="1" applyAlignment="1" applyProtection="1">
      <alignment horizontal="left" vertical="top"/>
      <protection hidden="1"/>
    </xf>
    <xf numFmtId="0" fontId="1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164" fontId="0" fillId="5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164" fontId="0" fillId="6" borderId="0" xfId="0" applyNumberFormat="1" applyFill="1" applyAlignment="1">
      <alignment horizontal="left"/>
    </xf>
    <xf numFmtId="0" fontId="0" fillId="6" borderId="0" xfId="0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4" xfId="0" applyFill="1" applyBorder="1"/>
    <xf numFmtId="0" fontId="17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left"/>
    </xf>
    <xf numFmtId="164" fontId="0" fillId="0" borderId="0" xfId="0" applyNumberFormat="1" applyFill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" fontId="0" fillId="0" borderId="0" xfId="0" applyNumberFormat="1" applyFill="1" applyAlignment="1">
      <alignment horizontal="left"/>
    </xf>
    <xf numFmtId="0" fontId="5" fillId="0" borderId="3" xfId="0" applyFont="1" applyBorder="1" applyAlignment="1">
      <alignment horizontal="left"/>
    </xf>
    <xf numFmtId="0" fontId="13" fillId="0" borderId="0" xfId="0" applyFont="1" applyFill="1" applyAlignment="1" applyProtection="1">
      <alignment horizontal="left" vertical="top"/>
      <protection hidden="1"/>
    </xf>
    <xf numFmtId="0" fontId="17" fillId="0" borderId="0" xfId="0" applyFont="1" applyFill="1" applyAlignment="1">
      <alignment horizontal="left"/>
    </xf>
    <xf numFmtId="0" fontId="17" fillId="0" borderId="0" xfId="0" applyFont="1" applyBorder="1" applyAlignment="1">
      <alignment horizontal="left"/>
    </xf>
    <xf numFmtId="0" fontId="12" fillId="3" borderId="3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</cellXfs>
  <cellStyles count="108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alculation 2" xfId="52"/>
    <cellStyle name="Calculation 3" xfId="53"/>
    <cellStyle name="Check Cell 2" xfId="54"/>
    <cellStyle name="Check Cell 3" xfId="55"/>
    <cellStyle name="Comma 2" xfId="56"/>
    <cellStyle name="Comma 3" xfId="106"/>
    <cellStyle name="Currency 2" xfId="57"/>
    <cellStyle name="Currency 2 2" xfId="58"/>
    <cellStyle name="Currency 2 3" xfId="97"/>
    <cellStyle name="Explanatory Text 2" xfId="59"/>
    <cellStyle name="Explanatory Text 3" xfId="60"/>
    <cellStyle name="Good 2" xfId="61"/>
    <cellStyle name="Good 3" xfId="62"/>
    <cellStyle name="Heading 1 2" xfId="63"/>
    <cellStyle name="Heading 1 3" xfId="64"/>
    <cellStyle name="Heading 2 2" xfId="65"/>
    <cellStyle name="Heading 2 3" xfId="66"/>
    <cellStyle name="Heading 3 2" xfId="67"/>
    <cellStyle name="Heading 3 3" xfId="68"/>
    <cellStyle name="Heading 4 2" xfId="69"/>
    <cellStyle name="Heading 4 3" xfId="70"/>
    <cellStyle name="Input 2" xfId="71"/>
    <cellStyle name="Input 3" xfId="72"/>
    <cellStyle name="Linked Cell 2" xfId="73"/>
    <cellStyle name="Linked Cell 3" xfId="74"/>
    <cellStyle name="Neutral 2" xfId="75"/>
    <cellStyle name="Neutral 3" xfId="76"/>
    <cellStyle name="Normal" xfId="0" builtinId="0"/>
    <cellStyle name="Normal 10" xfId="105"/>
    <cellStyle name="Normal 11" xfId="107"/>
    <cellStyle name="Normal 2" xfId="1"/>
    <cellStyle name="Normal 2 2" xfId="77"/>
    <cellStyle name="Normal 2 2 2" xfId="78"/>
    <cellStyle name="Normal 2 2 3" xfId="79"/>
    <cellStyle name="Normal 2 2 4" xfId="80"/>
    <cellStyle name="Normal 2 3" xfId="81"/>
    <cellStyle name="Normal 2 3 2" xfId="98"/>
    <cellStyle name="Normal 2 4" xfId="82"/>
    <cellStyle name="Normal 2 5" xfId="101"/>
    <cellStyle name="Normal 3" xfId="83"/>
    <cellStyle name="Normal 3 2" xfId="84"/>
    <cellStyle name="Normal 4" xfId="95"/>
    <cellStyle name="Normal 5" xfId="96"/>
    <cellStyle name="Normal 6" xfId="100"/>
    <cellStyle name="Normal 7" xfId="102"/>
    <cellStyle name="Normal 8" xfId="103"/>
    <cellStyle name="Normal 9" xfId="104"/>
    <cellStyle name="Note 2" xfId="85"/>
    <cellStyle name="Note 3" xfId="86"/>
    <cellStyle name="Output 2" xfId="87"/>
    <cellStyle name="Output 3" xfId="88"/>
    <cellStyle name="Percent 2" xfId="99"/>
    <cellStyle name="Title 2" xfId="89"/>
    <cellStyle name="Title 3" xfId="90"/>
    <cellStyle name="Total 2" xfId="91"/>
    <cellStyle name="Total 3" xfId="92"/>
    <cellStyle name="Warning Text 2" xfId="93"/>
    <cellStyle name="Warning Text 3" xfId="94"/>
  </cellStyles>
  <dxfs count="21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Info!$C$349" fmlaRange="Info!$C$207:$C$218" sel="10" val="4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Drop" dropStyle="combo" dx="16" fmlaLink="Info!$C$353" fmlaRange="Info!$C$283:$C$294" sel="12" val="4"/>
</file>

<file path=xl/ctrlProps/ctrlProp3.xml><?xml version="1.0" encoding="utf-8"?>
<formControlPr xmlns="http://schemas.microsoft.com/office/spreadsheetml/2009/9/main" objectType="Drop" dropStyle="combo" dx="16" fmlaLink="Info!$C$354" fmlaRange="Info!$C$305:$C$316" sel="1" val="0"/>
</file>

<file path=xl/ctrlProps/ctrlProp4.xml><?xml version="1.0" encoding="utf-8"?>
<formControlPr xmlns="http://schemas.microsoft.com/office/spreadsheetml/2009/9/main" objectType="Drop" dropLines="10" dropStyle="combo" dx="16" fmlaLink="Info!$C$348" fmlaRange="Info!$C$5:$C$181" sel="14" val="9"/>
</file>

<file path=xl/ctrlProps/ctrlProp5.xml><?xml version="1.0" encoding="utf-8"?>
<formControlPr xmlns="http://schemas.microsoft.com/office/spreadsheetml/2009/9/main" objectType="Drop" dropStyle="combo" dx="16" fmlaLink="Info!$C$350" fmlaRange="Info!$C$226:$C$237" sel="10" val="4"/>
</file>

<file path=xl/ctrlProps/ctrlProp6.xml><?xml version="1.0" encoding="utf-8"?>
<formControlPr xmlns="http://schemas.microsoft.com/office/spreadsheetml/2009/9/main" objectType="Drop" dropStyle="combo" dx="16" fmlaLink="Info!$C$351" fmlaRange="Info!$C$245:$C$256" sel="10" val="4"/>
</file>

<file path=xl/ctrlProps/ctrlProp7.xml><?xml version="1.0" encoding="utf-8"?>
<formControlPr xmlns="http://schemas.microsoft.com/office/spreadsheetml/2009/9/main" objectType="Drop" dropStyle="combo" dx="16" fmlaLink="Info!$C$352" fmlaRange="Info!$C$264:$C$275" sel="10" val="4"/>
</file>

<file path=xl/ctrlProps/ctrlProp8.xml><?xml version="1.0" encoding="utf-8"?>
<formControlPr xmlns="http://schemas.microsoft.com/office/spreadsheetml/2009/9/main" objectType="Radio" checked="Checked" firstButton="1" fmlaLink="Info!$C$357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9" Type="http://schemas.openxmlformats.org/officeDocument/2006/relationships/image" Target="../media/image42.jpeg"/><Relationship Id="rId21" Type="http://schemas.openxmlformats.org/officeDocument/2006/relationships/image" Target="../media/image24.png"/><Relationship Id="rId34" Type="http://schemas.openxmlformats.org/officeDocument/2006/relationships/image" Target="../media/image37.jpeg"/><Relationship Id="rId42" Type="http://schemas.openxmlformats.org/officeDocument/2006/relationships/image" Target="../media/image45.jpeg"/><Relationship Id="rId47" Type="http://schemas.openxmlformats.org/officeDocument/2006/relationships/image" Target="../media/image50.jpe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9" Type="http://schemas.openxmlformats.org/officeDocument/2006/relationships/image" Target="../media/image32.pn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pn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9.jpe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Relationship Id="rId48" Type="http://schemas.openxmlformats.org/officeDocument/2006/relationships/image" Target="../media/image51.jpeg"/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jpeg"/><Relationship Id="rId20" Type="http://schemas.openxmlformats.org/officeDocument/2006/relationships/image" Target="../media/image23.png"/><Relationship Id="rId41" Type="http://schemas.openxmlformats.org/officeDocument/2006/relationships/image" Target="../media/image4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171450</xdr:rowOff>
    </xdr:from>
    <xdr:to>
      <xdr:col>10</xdr:col>
      <xdr:colOff>476250</xdr:colOff>
      <xdr:row>2</xdr:row>
      <xdr:rowOff>171450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4876800" y="171450"/>
          <a:ext cx="3562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700">
              <a:latin typeface="Arial Narrow" panose="020B0606020202030204" pitchFamily="34" charset="0"/>
            </a:rPr>
            <a:t>CO-OP FABRIC</a:t>
          </a:r>
          <a:r>
            <a:rPr lang="en-US" sz="1700" baseline="0">
              <a:latin typeface="Arial Narrow" panose="020B0606020202030204" pitchFamily="34" charset="0"/>
            </a:rPr>
            <a:t> CALCULATOR</a:t>
          </a:r>
          <a:endParaRPr lang="en-US" sz="1700">
            <a:latin typeface="Arial Narrow" panose="020B0606020202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27</xdr:row>
          <xdr:rowOff>0</xdr:rowOff>
        </xdr:from>
        <xdr:to>
          <xdr:col>5</xdr:col>
          <xdr:colOff>609600</xdr:colOff>
          <xdr:row>28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24</xdr:row>
          <xdr:rowOff>0</xdr:rowOff>
        </xdr:from>
        <xdr:to>
          <xdr:col>5</xdr:col>
          <xdr:colOff>609600</xdr:colOff>
          <xdr:row>25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21</xdr:row>
          <xdr:rowOff>0</xdr:rowOff>
        </xdr:from>
        <xdr:to>
          <xdr:col>5</xdr:col>
          <xdr:colOff>609600</xdr:colOff>
          <xdr:row>22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15</xdr:row>
          <xdr:rowOff>0</xdr:rowOff>
        </xdr:from>
        <xdr:to>
          <xdr:col>5</xdr:col>
          <xdr:colOff>609600</xdr:colOff>
          <xdr:row>16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30</xdr:row>
          <xdr:rowOff>0</xdr:rowOff>
        </xdr:from>
        <xdr:to>
          <xdr:col>5</xdr:col>
          <xdr:colOff>609600</xdr:colOff>
          <xdr:row>31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33</xdr:row>
          <xdr:rowOff>0</xdr:rowOff>
        </xdr:from>
        <xdr:to>
          <xdr:col>5</xdr:col>
          <xdr:colOff>609600</xdr:colOff>
          <xdr:row>34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36</xdr:row>
          <xdr:rowOff>0</xdr:rowOff>
        </xdr:from>
        <xdr:to>
          <xdr:col>5</xdr:col>
          <xdr:colOff>609600</xdr:colOff>
          <xdr:row>37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723900</xdr:colOff>
          <xdr:row>24</xdr:row>
          <xdr:rowOff>152400</xdr:rowOff>
        </xdr:from>
        <xdr:to>
          <xdr:col>7</xdr:col>
          <xdr:colOff>617220</xdr:colOff>
          <xdr:row>25</xdr:row>
          <xdr:rowOff>182880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Tone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24</xdr:row>
          <xdr:rowOff>152400</xdr:rowOff>
        </xdr:from>
        <xdr:to>
          <xdr:col>7</xdr:col>
          <xdr:colOff>1257300</xdr:colOff>
          <xdr:row>25</xdr:row>
          <xdr:rowOff>182880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 Tone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1203960</xdr:colOff>
          <xdr:row>24</xdr:row>
          <xdr:rowOff>152400</xdr:rowOff>
        </xdr:from>
        <xdr:to>
          <xdr:col>8</xdr:col>
          <xdr:colOff>289560</xdr:colOff>
          <xdr:row>25</xdr:row>
          <xdr:rowOff>182880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Tone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24</xdr:row>
          <xdr:rowOff>152400</xdr:rowOff>
        </xdr:from>
        <xdr:to>
          <xdr:col>9</xdr:col>
          <xdr:colOff>22860</xdr:colOff>
          <xdr:row>25</xdr:row>
          <xdr:rowOff>182880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4+ Tone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314325</xdr:colOff>
      <xdr:row>1</xdr:row>
      <xdr:rowOff>28576</xdr:rowOff>
    </xdr:from>
    <xdr:to>
      <xdr:col>14</xdr:col>
      <xdr:colOff>552450</xdr:colOff>
      <xdr:row>2</xdr:row>
      <xdr:rowOff>169092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6025" y="219076"/>
          <a:ext cx="847725" cy="3310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485775</xdr:colOff>
      <xdr:row>2</xdr:row>
      <xdr:rowOff>123825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0" y="504825"/>
          <a:ext cx="3819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</xdr:row>
      <xdr:rowOff>123332</xdr:rowOff>
    </xdr:from>
    <xdr:to>
      <xdr:col>8</xdr:col>
      <xdr:colOff>800100</xdr:colOff>
      <xdr:row>2</xdr:row>
      <xdr:rowOff>123332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CxnSpPr/>
      </xdr:nvCxnSpPr>
      <xdr:spPr>
        <a:xfrm>
          <a:off x="4953000" y="504332"/>
          <a:ext cx="2362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257174</xdr:colOff>
          <xdr:row>11</xdr:row>
          <xdr:rowOff>76198</xdr:rowOff>
        </xdr:from>
        <xdr:to>
          <xdr:col>14</xdr:col>
          <xdr:colOff>208683</xdr:colOff>
          <xdr:row>20</xdr:row>
          <xdr:rowOff>95248</xdr:rowOff>
        </xdr:to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xmlns="" id="{00000000-0008-0000-0100-000015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ic" spid="_x0000_s189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220074" y="2305048"/>
              <a:ext cx="2389909" cy="19050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1</xdr:col>
      <xdr:colOff>28575</xdr:colOff>
      <xdr:row>0</xdr:row>
      <xdr:rowOff>95250</xdr:rowOff>
    </xdr:from>
    <xdr:to>
      <xdr:col>5</xdr:col>
      <xdr:colOff>628650</xdr:colOff>
      <xdr:row>2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438150" y="95250"/>
          <a:ext cx="3562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250">
              <a:latin typeface="Arial Narrow" panose="020B0606020202030204" pitchFamily="34" charset="0"/>
            </a:rPr>
            <a:t>CO-OP FABRIC</a:t>
          </a:r>
          <a:r>
            <a:rPr lang="en-US" sz="2250" baseline="0">
              <a:latin typeface="Arial Narrow" panose="020B0606020202030204" pitchFamily="34" charset="0"/>
            </a:rPr>
            <a:t> CALCULATOR</a:t>
          </a:r>
          <a:endParaRPr lang="en-US" sz="2250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149689</xdr:colOff>
      <xdr:row>2</xdr:row>
      <xdr:rowOff>25733</xdr:rowOff>
    </xdr:from>
    <xdr:to>
      <xdr:col>1</xdr:col>
      <xdr:colOff>2275342</xdr:colOff>
      <xdr:row>2</xdr:row>
      <xdr:rowOff>1891109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689" y="3835733"/>
          <a:ext cx="2125653" cy="1865376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89</xdr:row>
      <xdr:rowOff>42021</xdr:rowOff>
    </xdr:from>
    <xdr:to>
      <xdr:col>1</xdr:col>
      <xdr:colOff>2005346</xdr:colOff>
      <xdr:row>89</xdr:row>
      <xdr:rowOff>1870821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00000000-0008-0000-05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14843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90</xdr:row>
      <xdr:rowOff>42021</xdr:rowOff>
    </xdr:from>
    <xdr:to>
      <xdr:col>1</xdr:col>
      <xdr:colOff>2005346</xdr:colOff>
      <xdr:row>90</xdr:row>
      <xdr:rowOff>1870821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00000000-0008-0000-05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16748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91</xdr:row>
      <xdr:rowOff>42021</xdr:rowOff>
    </xdr:from>
    <xdr:to>
      <xdr:col>1</xdr:col>
      <xdr:colOff>2005346</xdr:colOff>
      <xdr:row>91</xdr:row>
      <xdr:rowOff>1870821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00000000-0008-0000-05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22463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92</xdr:row>
      <xdr:rowOff>42021</xdr:rowOff>
    </xdr:from>
    <xdr:to>
      <xdr:col>1</xdr:col>
      <xdr:colOff>2005346</xdr:colOff>
      <xdr:row>92</xdr:row>
      <xdr:rowOff>1870821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00000000-0008-0000-05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24368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93</xdr:row>
      <xdr:rowOff>42021</xdr:rowOff>
    </xdr:from>
    <xdr:to>
      <xdr:col>1</xdr:col>
      <xdr:colOff>2005346</xdr:colOff>
      <xdr:row>93</xdr:row>
      <xdr:rowOff>1870821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00000000-0008-0000-05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30083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94</xdr:row>
      <xdr:rowOff>42021</xdr:rowOff>
    </xdr:from>
    <xdr:to>
      <xdr:col>1</xdr:col>
      <xdr:colOff>2005346</xdr:colOff>
      <xdr:row>94</xdr:row>
      <xdr:rowOff>1870821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00000000-0008-0000-05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31988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95</xdr:row>
      <xdr:rowOff>42021</xdr:rowOff>
    </xdr:from>
    <xdr:to>
      <xdr:col>1</xdr:col>
      <xdr:colOff>2005346</xdr:colOff>
      <xdr:row>95</xdr:row>
      <xdr:rowOff>1870821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00000000-0008-0000-05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37703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420215</xdr:colOff>
      <xdr:row>96</xdr:row>
      <xdr:rowOff>42021</xdr:rowOff>
    </xdr:from>
    <xdr:to>
      <xdr:col>1</xdr:col>
      <xdr:colOff>2005346</xdr:colOff>
      <xdr:row>96</xdr:row>
      <xdr:rowOff>1870821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00000000-0008-0000-05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215" y="339608271"/>
          <a:ext cx="1585131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97</xdr:row>
      <xdr:rowOff>56028</xdr:rowOff>
    </xdr:from>
    <xdr:to>
      <xdr:col>1</xdr:col>
      <xdr:colOff>1990321</xdr:colOff>
      <xdr:row>97</xdr:row>
      <xdr:rowOff>1884828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00000000-0008-0000-05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45337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98</xdr:row>
      <xdr:rowOff>56028</xdr:rowOff>
    </xdr:from>
    <xdr:to>
      <xdr:col>1</xdr:col>
      <xdr:colOff>1990321</xdr:colOff>
      <xdr:row>98</xdr:row>
      <xdr:rowOff>1884828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00000000-0008-0000-05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47242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99</xdr:row>
      <xdr:rowOff>56028</xdr:rowOff>
    </xdr:from>
    <xdr:to>
      <xdr:col>1</xdr:col>
      <xdr:colOff>1990321</xdr:colOff>
      <xdr:row>99</xdr:row>
      <xdr:rowOff>1884828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00000000-0008-0000-05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52957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100</xdr:row>
      <xdr:rowOff>56028</xdr:rowOff>
    </xdr:from>
    <xdr:to>
      <xdr:col>1</xdr:col>
      <xdr:colOff>1990321</xdr:colOff>
      <xdr:row>100</xdr:row>
      <xdr:rowOff>1884828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00000000-0008-0000-05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54862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101</xdr:row>
      <xdr:rowOff>56028</xdr:rowOff>
    </xdr:from>
    <xdr:to>
      <xdr:col>1</xdr:col>
      <xdr:colOff>1990321</xdr:colOff>
      <xdr:row>101</xdr:row>
      <xdr:rowOff>1884828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00000000-0008-0000-05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60577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102</xdr:row>
      <xdr:rowOff>56028</xdr:rowOff>
    </xdr:from>
    <xdr:to>
      <xdr:col>1</xdr:col>
      <xdr:colOff>1990321</xdr:colOff>
      <xdr:row>102</xdr:row>
      <xdr:rowOff>1884828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00000000-0008-0000-05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62482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103</xdr:row>
      <xdr:rowOff>56028</xdr:rowOff>
    </xdr:from>
    <xdr:to>
      <xdr:col>1</xdr:col>
      <xdr:colOff>1990321</xdr:colOff>
      <xdr:row>103</xdr:row>
      <xdr:rowOff>1884828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00000000-0008-0000-05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68197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420217</xdr:colOff>
      <xdr:row>104</xdr:row>
      <xdr:rowOff>56028</xdr:rowOff>
    </xdr:from>
    <xdr:to>
      <xdr:col>1</xdr:col>
      <xdr:colOff>1990321</xdr:colOff>
      <xdr:row>104</xdr:row>
      <xdr:rowOff>1884828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00000000-0008-0000-05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5217" y="370102278"/>
          <a:ext cx="1570104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105</xdr:row>
      <xdr:rowOff>56028</xdr:rowOff>
    </xdr:from>
    <xdr:to>
      <xdr:col>1</xdr:col>
      <xdr:colOff>2047256</xdr:colOff>
      <xdr:row>105</xdr:row>
      <xdr:rowOff>1884828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0000000-0008-0000-05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75817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106</xdr:row>
      <xdr:rowOff>56028</xdr:rowOff>
    </xdr:from>
    <xdr:to>
      <xdr:col>1</xdr:col>
      <xdr:colOff>2047256</xdr:colOff>
      <xdr:row>106</xdr:row>
      <xdr:rowOff>1884828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00000000-0008-0000-05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77722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107</xdr:row>
      <xdr:rowOff>56028</xdr:rowOff>
    </xdr:from>
    <xdr:to>
      <xdr:col>1</xdr:col>
      <xdr:colOff>2047256</xdr:colOff>
      <xdr:row>107</xdr:row>
      <xdr:rowOff>1884828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0000000-0008-0000-05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83437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108</xdr:row>
      <xdr:rowOff>56028</xdr:rowOff>
    </xdr:from>
    <xdr:to>
      <xdr:col>1</xdr:col>
      <xdr:colOff>2047256</xdr:colOff>
      <xdr:row>108</xdr:row>
      <xdr:rowOff>1884828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00000000-0008-0000-05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85342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109</xdr:row>
      <xdr:rowOff>56028</xdr:rowOff>
    </xdr:from>
    <xdr:to>
      <xdr:col>1</xdr:col>
      <xdr:colOff>2047256</xdr:colOff>
      <xdr:row>109</xdr:row>
      <xdr:rowOff>1884828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0000000-0008-0000-05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91057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110</xdr:row>
      <xdr:rowOff>56028</xdr:rowOff>
    </xdr:from>
    <xdr:to>
      <xdr:col>1</xdr:col>
      <xdr:colOff>2047256</xdr:colOff>
      <xdr:row>110</xdr:row>
      <xdr:rowOff>1884828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00000000-0008-0000-05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92962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111</xdr:row>
      <xdr:rowOff>56028</xdr:rowOff>
    </xdr:from>
    <xdr:to>
      <xdr:col>1</xdr:col>
      <xdr:colOff>2047256</xdr:colOff>
      <xdr:row>111</xdr:row>
      <xdr:rowOff>1884828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5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398677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434228</xdr:colOff>
      <xdr:row>112</xdr:row>
      <xdr:rowOff>56028</xdr:rowOff>
    </xdr:from>
    <xdr:to>
      <xdr:col>1</xdr:col>
      <xdr:colOff>2047256</xdr:colOff>
      <xdr:row>112</xdr:row>
      <xdr:rowOff>1884828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0000000-0008-0000-05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228" y="400582278"/>
          <a:ext cx="1613028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113</xdr:row>
      <xdr:rowOff>56028</xdr:rowOff>
    </xdr:from>
    <xdr:to>
      <xdr:col>1</xdr:col>
      <xdr:colOff>2041140</xdr:colOff>
      <xdr:row>113</xdr:row>
      <xdr:rowOff>1884828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00000000-0008-0000-05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06297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114</xdr:row>
      <xdr:rowOff>56028</xdr:rowOff>
    </xdr:from>
    <xdr:to>
      <xdr:col>1</xdr:col>
      <xdr:colOff>2041140</xdr:colOff>
      <xdr:row>114</xdr:row>
      <xdr:rowOff>1884828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00000000-0008-0000-05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08202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115</xdr:row>
      <xdr:rowOff>56028</xdr:rowOff>
    </xdr:from>
    <xdr:to>
      <xdr:col>1</xdr:col>
      <xdr:colOff>2041140</xdr:colOff>
      <xdr:row>115</xdr:row>
      <xdr:rowOff>1884828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00000000-0008-0000-05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13917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116</xdr:row>
      <xdr:rowOff>56028</xdr:rowOff>
    </xdr:from>
    <xdr:to>
      <xdr:col>1</xdr:col>
      <xdr:colOff>2041140</xdr:colOff>
      <xdr:row>116</xdr:row>
      <xdr:rowOff>1884828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00000000-0008-0000-05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15822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117</xdr:row>
      <xdr:rowOff>56028</xdr:rowOff>
    </xdr:from>
    <xdr:to>
      <xdr:col>1</xdr:col>
      <xdr:colOff>2041140</xdr:colOff>
      <xdr:row>117</xdr:row>
      <xdr:rowOff>1884828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0000000-0008-0000-05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21537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118</xdr:row>
      <xdr:rowOff>56028</xdr:rowOff>
    </xdr:from>
    <xdr:to>
      <xdr:col>1</xdr:col>
      <xdr:colOff>2041140</xdr:colOff>
      <xdr:row>118</xdr:row>
      <xdr:rowOff>1884828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00000000-0008-0000-05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23442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119</xdr:row>
      <xdr:rowOff>56028</xdr:rowOff>
    </xdr:from>
    <xdr:to>
      <xdr:col>1</xdr:col>
      <xdr:colOff>2041140</xdr:colOff>
      <xdr:row>119</xdr:row>
      <xdr:rowOff>1884828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00000000-0008-0000-05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29157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420218</xdr:colOff>
      <xdr:row>120</xdr:row>
      <xdr:rowOff>56028</xdr:rowOff>
    </xdr:from>
    <xdr:to>
      <xdr:col>1</xdr:col>
      <xdr:colOff>2041140</xdr:colOff>
      <xdr:row>120</xdr:row>
      <xdr:rowOff>1884828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00000000-0008-0000-05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5218" y="431062278"/>
          <a:ext cx="162092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392206</xdr:colOff>
      <xdr:row>19</xdr:row>
      <xdr:rowOff>42022</xdr:rowOff>
    </xdr:from>
    <xdr:to>
      <xdr:col>1</xdr:col>
      <xdr:colOff>1986492</xdr:colOff>
      <xdr:row>19</xdr:row>
      <xdr:rowOff>1890879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97206" y="36237022"/>
          <a:ext cx="1594286" cy="1848857"/>
        </a:xfrm>
        <a:prstGeom prst="rect">
          <a:avLst/>
        </a:prstGeom>
      </xdr:spPr>
    </xdr:pic>
    <xdr:clientData/>
  </xdr:twoCellAnchor>
  <xdr:twoCellAnchor editAs="oneCell">
    <xdr:from>
      <xdr:col>1</xdr:col>
      <xdr:colOff>420219</xdr:colOff>
      <xdr:row>21</xdr:row>
      <xdr:rowOff>28014</xdr:rowOff>
    </xdr:from>
    <xdr:to>
      <xdr:col>1</xdr:col>
      <xdr:colOff>2014505</xdr:colOff>
      <xdr:row>21</xdr:row>
      <xdr:rowOff>1876871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0000000-0008-0000-05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25219" y="40033014"/>
          <a:ext cx="1594286" cy="1848857"/>
        </a:xfrm>
        <a:prstGeom prst="rect">
          <a:avLst/>
        </a:prstGeom>
      </xdr:spPr>
    </xdr:pic>
    <xdr:clientData/>
  </xdr:twoCellAnchor>
  <xdr:twoCellAnchor editAs="oneCell">
    <xdr:from>
      <xdr:col>1</xdr:col>
      <xdr:colOff>392204</xdr:colOff>
      <xdr:row>20</xdr:row>
      <xdr:rowOff>42022</xdr:rowOff>
    </xdr:from>
    <xdr:to>
      <xdr:col>1</xdr:col>
      <xdr:colOff>1965918</xdr:colOff>
      <xdr:row>20</xdr:row>
      <xdr:rowOff>1880593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97204" y="38142022"/>
          <a:ext cx="1573714" cy="1838571"/>
        </a:xfrm>
        <a:prstGeom prst="rect">
          <a:avLst/>
        </a:prstGeom>
      </xdr:spPr>
    </xdr:pic>
    <xdr:clientData/>
  </xdr:twoCellAnchor>
  <xdr:twoCellAnchor editAs="oneCell">
    <xdr:from>
      <xdr:col>1</xdr:col>
      <xdr:colOff>406211</xdr:colOff>
      <xdr:row>22</xdr:row>
      <xdr:rowOff>42022</xdr:rowOff>
    </xdr:from>
    <xdr:to>
      <xdr:col>1</xdr:col>
      <xdr:colOff>1979925</xdr:colOff>
      <xdr:row>22</xdr:row>
      <xdr:rowOff>1880593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11211" y="41952022"/>
          <a:ext cx="1573714" cy="1838571"/>
        </a:xfrm>
        <a:prstGeom prst="rect">
          <a:avLst/>
        </a:prstGeom>
      </xdr:spPr>
    </xdr:pic>
    <xdr:clientData/>
  </xdr:twoCellAnchor>
  <xdr:twoCellAnchor editAs="oneCell">
    <xdr:from>
      <xdr:col>1</xdr:col>
      <xdr:colOff>378199</xdr:colOff>
      <xdr:row>86</xdr:row>
      <xdr:rowOff>14008</xdr:rowOff>
    </xdr:from>
    <xdr:to>
      <xdr:col>1</xdr:col>
      <xdr:colOff>1951913</xdr:colOff>
      <xdr:row>86</xdr:row>
      <xdr:rowOff>1852579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5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3199" y="297670258"/>
          <a:ext cx="1573714" cy="1838571"/>
        </a:xfrm>
        <a:prstGeom prst="rect">
          <a:avLst/>
        </a:prstGeom>
      </xdr:spPr>
    </xdr:pic>
    <xdr:clientData/>
  </xdr:twoCellAnchor>
  <xdr:twoCellAnchor editAs="oneCell">
    <xdr:from>
      <xdr:col>1</xdr:col>
      <xdr:colOff>392204</xdr:colOff>
      <xdr:row>85</xdr:row>
      <xdr:rowOff>28014</xdr:rowOff>
    </xdr:from>
    <xdr:to>
      <xdr:col>1</xdr:col>
      <xdr:colOff>1986490</xdr:colOff>
      <xdr:row>85</xdr:row>
      <xdr:rowOff>1876871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5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97204" y="291969264"/>
          <a:ext cx="1594286" cy="1848857"/>
        </a:xfrm>
        <a:prstGeom prst="rect">
          <a:avLst/>
        </a:prstGeom>
      </xdr:spPr>
    </xdr:pic>
    <xdr:clientData/>
  </xdr:twoCellAnchor>
  <xdr:twoCellAnchor editAs="oneCell">
    <xdr:from>
      <xdr:col>1</xdr:col>
      <xdr:colOff>406212</xdr:colOff>
      <xdr:row>88</xdr:row>
      <xdr:rowOff>42021</xdr:rowOff>
    </xdr:from>
    <xdr:to>
      <xdr:col>1</xdr:col>
      <xdr:colOff>1979926</xdr:colOff>
      <xdr:row>88</xdr:row>
      <xdr:rowOff>1880592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000000-0008-0000-05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11212" y="309128271"/>
          <a:ext cx="1573714" cy="1838571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336175</xdr:colOff>
      <xdr:row>87</xdr:row>
      <xdr:rowOff>28014</xdr:rowOff>
    </xdr:from>
    <xdr:to>
      <xdr:col>1</xdr:col>
      <xdr:colOff>1930461</xdr:colOff>
      <xdr:row>87</xdr:row>
      <xdr:rowOff>1876871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00000000-0008-0000-05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41175" y="303399264"/>
          <a:ext cx="1594286" cy="184885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452434</xdr:colOff>
      <xdr:row>3</xdr:row>
      <xdr:rowOff>47624</xdr:rowOff>
    </xdr:from>
    <xdr:to>
      <xdr:col>1</xdr:col>
      <xdr:colOff>2011100</xdr:colOff>
      <xdr:row>3</xdr:row>
      <xdr:rowOff>1890957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00000000-0008-0000-05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57434" y="5762624"/>
          <a:ext cx="1558666" cy="1843333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452434</xdr:colOff>
      <xdr:row>5</xdr:row>
      <xdr:rowOff>63499</xdr:rowOff>
    </xdr:from>
    <xdr:to>
      <xdr:col>1</xdr:col>
      <xdr:colOff>2011100</xdr:colOff>
      <xdr:row>6</xdr:row>
      <xdr:rowOff>1832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0000000-0008-0000-05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57434" y="9588499"/>
          <a:ext cx="1558666" cy="184333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639529</xdr:colOff>
      <xdr:row>4</xdr:row>
      <xdr:rowOff>27214</xdr:rowOff>
    </xdr:from>
    <xdr:to>
      <xdr:col>1</xdr:col>
      <xdr:colOff>1939815</xdr:colOff>
      <xdr:row>4</xdr:row>
      <xdr:rowOff>1901500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0000000-0008-0000-05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44529" y="7647214"/>
          <a:ext cx="1300286" cy="1874286"/>
        </a:xfrm>
        <a:prstGeom prst="rect">
          <a:avLst/>
        </a:prstGeom>
      </xdr:spPr>
    </xdr:pic>
    <xdr:clientData/>
  </xdr:twoCellAnchor>
  <xdr:twoCellAnchor editAs="oneCell">
    <xdr:from>
      <xdr:col>1</xdr:col>
      <xdr:colOff>639529</xdr:colOff>
      <xdr:row>6</xdr:row>
      <xdr:rowOff>27214</xdr:rowOff>
    </xdr:from>
    <xdr:to>
      <xdr:col>1</xdr:col>
      <xdr:colOff>1939815</xdr:colOff>
      <xdr:row>6</xdr:row>
      <xdr:rowOff>1901500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00000000-0008-0000-05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44529" y="11457214"/>
          <a:ext cx="1300286" cy="187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560300</xdr:colOff>
      <xdr:row>27</xdr:row>
      <xdr:rowOff>22412</xdr:rowOff>
    </xdr:from>
    <xdr:to>
      <xdr:col>1</xdr:col>
      <xdr:colOff>1860586</xdr:colOff>
      <xdr:row>27</xdr:row>
      <xdr:rowOff>1896698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5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65300" y="51457412"/>
          <a:ext cx="1300286" cy="187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560300</xdr:colOff>
      <xdr:row>28</xdr:row>
      <xdr:rowOff>22412</xdr:rowOff>
    </xdr:from>
    <xdr:to>
      <xdr:col>1</xdr:col>
      <xdr:colOff>1860586</xdr:colOff>
      <xdr:row>28</xdr:row>
      <xdr:rowOff>1896698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00000000-0008-0000-05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65300" y="57172412"/>
          <a:ext cx="1300286" cy="1874286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8</xdr:row>
      <xdr:rowOff>95249</xdr:rowOff>
    </xdr:from>
    <xdr:to>
      <xdr:col>1</xdr:col>
      <xdr:colOff>2364251</xdr:colOff>
      <xdr:row>8</xdr:row>
      <xdr:rowOff>1861344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45822" y="15335249"/>
          <a:ext cx="2323429" cy="1766095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32</xdr:row>
      <xdr:rowOff>95249</xdr:rowOff>
    </xdr:from>
    <xdr:to>
      <xdr:col>1</xdr:col>
      <xdr:colOff>2364250</xdr:colOff>
      <xdr:row>32</xdr:row>
      <xdr:rowOff>1861344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5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45821" y="72961499"/>
          <a:ext cx="2323429" cy="1766095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7</xdr:row>
      <xdr:rowOff>312961</xdr:rowOff>
    </xdr:from>
    <xdr:to>
      <xdr:col>1</xdr:col>
      <xdr:colOff>2357011</xdr:colOff>
      <xdr:row>7</xdr:row>
      <xdr:rowOff>1775056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00000000-0008-0000-05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45821" y="13647961"/>
          <a:ext cx="2316190" cy="1462095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258533</xdr:colOff>
      <xdr:row>9</xdr:row>
      <xdr:rowOff>40821</xdr:rowOff>
    </xdr:from>
    <xdr:to>
      <xdr:col>1</xdr:col>
      <xdr:colOff>2142152</xdr:colOff>
      <xdr:row>9</xdr:row>
      <xdr:rowOff>1877202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00000000-0008-0000-05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63533" y="17185821"/>
          <a:ext cx="1883619" cy="183638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258533</xdr:colOff>
      <xdr:row>10</xdr:row>
      <xdr:rowOff>40821</xdr:rowOff>
    </xdr:from>
    <xdr:to>
      <xdr:col>1</xdr:col>
      <xdr:colOff>2145104</xdr:colOff>
      <xdr:row>10</xdr:row>
      <xdr:rowOff>1880154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5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63533" y="19090821"/>
          <a:ext cx="1886571" cy="1839333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259770</xdr:colOff>
      <xdr:row>35</xdr:row>
      <xdr:rowOff>51954</xdr:rowOff>
    </xdr:from>
    <xdr:to>
      <xdr:col>1</xdr:col>
      <xdr:colOff>2143389</xdr:colOff>
      <xdr:row>35</xdr:row>
      <xdr:rowOff>1888335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0000000-0008-0000-05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64770" y="86261863"/>
          <a:ext cx="1883619" cy="1836381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259772</xdr:colOff>
      <xdr:row>38</xdr:row>
      <xdr:rowOff>51954</xdr:rowOff>
    </xdr:from>
    <xdr:to>
      <xdr:col>1</xdr:col>
      <xdr:colOff>2146343</xdr:colOff>
      <xdr:row>38</xdr:row>
      <xdr:rowOff>1891287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00000000-0008-0000-05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64772" y="99596863"/>
          <a:ext cx="1886571" cy="1839333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</xdr:colOff>
      <xdr:row>29</xdr:row>
      <xdr:rowOff>242452</xdr:rowOff>
    </xdr:from>
    <xdr:to>
      <xdr:col>1</xdr:col>
      <xdr:colOff>2357287</xdr:colOff>
      <xdr:row>29</xdr:row>
      <xdr:rowOff>1708166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0000000-0008-0000-05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6954" y="63107452"/>
          <a:ext cx="2305333" cy="1465714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</xdr:colOff>
      <xdr:row>30</xdr:row>
      <xdr:rowOff>103908</xdr:rowOff>
    </xdr:from>
    <xdr:to>
      <xdr:col>1</xdr:col>
      <xdr:colOff>2350826</xdr:colOff>
      <xdr:row>30</xdr:row>
      <xdr:rowOff>1873622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39636" y="64856590"/>
          <a:ext cx="2316190" cy="1769714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</xdr:colOff>
      <xdr:row>31</xdr:row>
      <xdr:rowOff>103908</xdr:rowOff>
    </xdr:from>
    <xdr:to>
      <xdr:col>1</xdr:col>
      <xdr:colOff>2350826</xdr:colOff>
      <xdr:row>31</xdr:row>
      <xdr:rowOff>1873622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00000000-0008-0000-05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39636" y="66761590"/>
          <a:ext cx="2316190" cy="1769714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259770</xdr:colOff>
      <xdr:row>33</xdr:row>
      <xdr:rowOff>51954</xdr:rowOff>
    </xdr:from>
    <xdr:to>
      <xdr:col>1</xdr:col>
      <xdr:colOff>2140437</xdr:colOff>
      <xdr:row>33</xdr:row>
      <xdr:rowOff>1888335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00000000-0008-0000-05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64770" y="78139636"/>
          <a:ext cx="1880667" cy="1836381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259770</xdr:colOff>
      <xdr:row>34</xdr:row>
      <xdr:rowOff>51954</xdr:rowOff>
    </xdr:from>
    <xdr:to>
      <xdr:col>1</xdr:col>
      <xdr:colOff>2140437</xdr:colOff>
      <xdr:row>34</xdr:row>
      <xdr:rowOff>1888335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00000000-0008-0000-05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64770" y="80044636"/>
          <a:ext cx="1880667" cy="1836381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259770</xdr:colOff>
      <xdr:row>36</xdr:row>
      <xdr:rowOff>51954</xdr:rowOff>
    </xdr:from>
    <xdr:to>
      <xdr:col>1</xdr:col>
      <xdr:colOff>2140437</xdr:colOff>
      <xdr:row>36</xdr:row>
      <xdr:rowOff>1882430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0000000-0008-0000-05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64770" y="91474636"/>
          <a:ext cx="1880667" cy="1830476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259770</xdr:colOff>
      <xdr:row>37</xdr:row>
      <xdr:rowOff>51954</xdr:rowOff>
    </xdr:from>
    <xdr:to>
      <xdr:col>1</xdr:col>
      <xdr:colOff>2140437</xdr:colOff>
      <xdr:row>37</xdr:row>
      <xdr:rowOff>1882430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00000000-0008-0000-05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64770" y="93379636"/>
          <a:ext cx="1880667" cy="1830476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11</xdr:row>
      <xdr:rowOff>398314</xdr:rowOff>
    </xdr:from>
    <xdr:to>
      <xdr:col>1</xdr:col>
      <xdr:colOff>2372747</xdr:colOff>
      <xdr:row>11</xdr:row>
      <xdr:rowOff>1865742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00000000-0008-0000-05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22318" y="21353314"/>
          <a:ext cx="2355429" cy="1467428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12</xdr:row>
      <xdr:rowOff>138544</xdr:rowOff>
    </xdr:from>
    <xdr:to>
      <xdr:col>1</xdr:col>
      <xdr:colOff>2376175</xdr:colOff>
      <xdr:row>12</xdr:row>
      <xdr:rowOff>1890544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00000000-0008-0000-05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22318" y="22998544"/>
          <a:ext cx="2358857" cy="17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42</xdr:row>
      <xdr:rowOff>138544</xdr:rowOff>
    </xdr:from>
    <xdr:to>
      <xdr:col>1</xdr:col>
      <xdr:colOff>2376175</xdr:colOff>
      <xdr:row>42</xdr:row>
      <xdr:rowOff>1890544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00000000-0008-0000-05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22318" y="114421226"/>
          <a:ext cx="2358857" cy="17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39</xdr:row>
      <xdr:rowOff>398314</xdr:rowOff>
    </xdr:from>
    <xdr:to>
      <xdr:col>1</xdr:col>
      <xdr:colOff>2378080</xdr:colOff>
      <xdr:row>39</xdr:row>
      <xdr:rowOff>1870359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00000000-0008-0000-05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22318" y="105155996"/>
          <a:ext cx="2360762" cy="1472045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</xdr:colOff>
      <xdr:row>40</xdr:row>
      <xdr:rowOff>34636</xdr:rowOff>
    </xdr:from>
    <xdr:to>
      <xdr:col>1</xdr:col>
      <xdr:colOff>2362605</xdr:colOff>
      <xdr:row>40</xdr:row>
      <xdr:rowOff>1891303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00000000-0008-0000-05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74272" y="106697318"/>
          <a:ext cx="2293333" cy="185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</xdr:colOff>
      <xdr:row>41</xdr:row>
      <xdr:rowOff>34636</xdr:rowOff>
    </xdr:from>
    <xdr:to>
      <xdr:col>1</xdr:col>
      <xdr:colOff>2362605</xdr:colOff>
      <xdr:row>41</xdr:row>
      <xdr:rowOff>1891303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00000000-0008-0000-05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74272" y="108602318"/>
          <a:ext cx="2293333" cy="1856667"/>
        </a:xfrm>
        <a:prstGeom prst="rect">
          <a:avLst/>
        </a:prstGeom>
      </xdr:spPr>
    </xdr:pic>
    <xdr:clientData/>
  </xdr:twoCellAnchor>
  <xdr:twoCellAnchor editAs="oneCell">
    <xdr:from>
      <xdr:col>1</xdr:col>
      <xdr:colOff>225134</xdr:colOff>
      <xdr:row>13</xdr:row>
      <xdr:rowOff>34636</xdr:rowOff>
    </xdr:from>
    <xdr:to>
      <xdr:col>1</xdr:col>
      <xdr:colOff>2216725</xdr:colOff>
      <xdr:row>13</xdr:row>
      <xdr:rowOff>1881286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00000000-0008-0000-05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0134" y="24799636"/>
          <a:ext cx="1991591" cy="1846650"/>
        </a:xfrm>
        <a:prstGeom prst="rect">
          <a:avLst/>
        </a:prstGeom>
      </xdr:spPr>
    </xdr:pic>
    <xdr:clientData/>
  </xdr:twoCellAnchor>
  <xdr:twoCellAnchor editAs="oneCell">
    <xdr:from>
      <xdr:col>1</xdr:col>
      <xdr:colOff>225134</xdr:colOff>
      <xdr:row>45</xdr:row>
      <xdr:rowOff>34636</xdr:rowOff>
    </xdr:from>
    <xdr:to>
      <xdr:col>1</xdr:col>
      <xdr:colOff>2216725</xdr:colOff>
      <xdr:row>45</xdr:row>
      <xdr:rowOff>1881286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00000000-0008-0000-05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0134" y="127652318"/>
          <a:ext cx="1991591" cy="1846650"/>
        </a:xfrm>
        <a:prstGeom prst="rect">
          <a:avLst/>
        </a:prstGeom>
      </xdr:spPr>
    </xdr:pic>
    <xdr:clientData/>
  </xdr:twoCellAnchor>
  <xdr:twoCellAnchor editAs="oneCell">
    <xdr:from>
      <xdr:col>1</xdr:col>
      <xdr:colOff>207816</xdr:colOff>
      <xdr:row>14</xdr:row>
      <xdr:rowOff>17317</xdr:rowOff>
    </xdr:from>
    <xdr:to>
      <xdr:col>1</xdr:col>
      <xdr:colOff>2251626</xdr:colOff>
      <xdr:row>15</xdr:row>
      <xdr:rowOff>1460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00000000-0008-0000-05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12816" y="26687317"/>
          <a:ext cx="2043810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48</xdr:row>
      <xdr:rowOff>17318</xdr:rowOff>
    </xdr:from>
    <xdr:to>
      <xdr:col>1</xdr:col>
      <xdr:colOff>2234308</xdr:colOff>
      <xdr:row>49</xdr:row>
      <xdr:rowOff>1461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00000000-0008-0000-05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95498" y="140970000"/>
          <a:ext cx="2043810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43</xdr:row>
      <xdr:rowOff>51954</xdr:rowOff>
    </xdr:from>
    <xdr:to>
      <xdr:col>1</xdr:col>
      <xdr:colOff>2347831</xdr:colOff>
      <xdr:row>43</xdr:row>
      <xdr:rowOff>1881287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00000000-0008-0000-05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95498" y="120049636"/>
          <a:ext cx="2157333" cy="182933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44</xdr:row>
      <xdr:rowOff>51954</xdr:rowOff>
    </xdr:from>
    <xdr:to>
      <xdr:col>1</xdr:col>
      <xdr:colOff>2347831</xdr:colOff>
      <xdr:row>44</xdr:row>
      <xdr:rowOff>1881287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00000000-0008-0000-05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95498" y="121954636"/>
          <a:ext cx="2157333" cy="1829333"/>
        </a:xfrm>
        <a:prstGeom prst="rect">
          <a:avLst/>
        </a:prstGeom>
      </xdr:spPr>
    </xdr:pic>
    <xdr:clientData/>
  </xdr:twoCellAnchor>
  <xdr:twoCellAnchor editAs="oneCell">
    <xdr:from>
      <xdr:col>1</xdr:col>
      <xdr:colOff>207816</xdr:colOff>
      <xdr:row>46</xdr:row>
      <xdr:rowOff>51954</xdr:rowOff>
    </xdr:from>
    <xdr:to>
      <xdr:col>1</xdr:col>
      <xdr:colOff>2354483</xdr:colOff>
      <xdr:row>46</xdr:row>
      <xdr:rowOff>1881287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00000000-0008-0000-05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12816" y="133384636"/>
          <a:ext cx="2146667" cy="1829333"/>
        </a:xfrm>
        <a:prstGeom prst="rect">
          <a:avLst/>
        </a:prstGeom>
      </xdr:spPr>
    </xdr:pic>
    <xdr:clientData/>
  </xdr:twoCellAnchor>
  <xdr:twoCellAnchor editAs="oneCell">
    <xdr:from>
      <xdr:col>1</xdr:col>
      <xdr:colOff>207816</xdr:colOff>
      <xdr:row>47</xdr:row>
      <xdr:rowOff>51954</xdr:rowOff>
    </xdr:from>
    <xdr:to>
      <xdr:col>1</xdr:col>
      <xdr:colOff>2354483</xdr:colOff>
      <xdr:row>47</xdr:row>
      <xdr:rowOff>1881287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00000000-0008-0000-05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12816" y="135289636"/>
          <a:ext cx="2146667" cy="182933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15</xdr:row>
      <xdr:rowOff>17318</xdr:rowOff>
    </xdr:from>
    <xdr:to>
      <xdr:col>1</xdr:col>
      <xdr:colOff>2239831</xdr:colOff>
      <xdr:row>16</xdr:row>
      <xdr:rowOff>1461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95498" y="28592318"/>
          <a:ext cx="2049333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17</xdr:row>
      <xdr:rowOff>17318</xdr:rowOff>
    </xdr:from>
    <xdr:to>
      <xdr:col>1</xdr:col>
      <xdr:colOff>2239831</xdr:colOff>
      <xdr:row>18</xdr:row>
      <xdr:rowOff>1461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00000000-0008-0000-05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95498" y="32402318"/>
          <a:ext cx="2049333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49</xdr:row>
      <xdr:rowOff>17318</xdr:rowOff>
    </xdr:from>
    <xdr:to>
      <xdr:col>1</xdr:col>
      <xdr:colOff>2239831</xdr:colOff>
      <xdr:row>50</xdr:row>
      <xdr:rowOff>1461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95498" y="146685000"/>
          <a:ext cx="2049333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51</xdr:row>
      <xdr:rowOff>17318</xdr:rowOff>
    </xdr:from>
    <xdr:to>
      <xdr:col>1</xdr:col>
      <xdr:colOff>2239831</xdr:colOff>
      <xdr:row>52</xdr:row>
      <xdr:rowOff>1461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00000000-0008-0000-05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95498" y="158115000"/>
          <a:ext cx="2049333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207816</xdr:colOff>
      <xdr:row>16</xdr:row>
      <xdr:rowOff>17318</xdr:rowOff>
    </xdr:from>
    <xdr:to>
      <xdr:col>1</xdr:col>
      <xdr:colOff>2248864</xdr:colOff>
      <xdr:row>17</xdr:row>
      <xdr:rowOff>1461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00000000-0008-0000-05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12816" y="30497318"/>
          <a:ext cx="2041048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18</xdr:row>
      <xdr:rowOff>17318</xdr:rowOff>
    </xdr:from>
    <xdr:to>
      <xdr:col>1</xdr:col>
      <xdr:colOff>2231546</xdr:colOff>
      <xdr:row>19</xdr:row>
      <xdr:rowOff>1461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00000000-0008-0000-05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498" y="34307318"/>
          <a:ext cx="2041048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207816</xdr:colOff>
      <xdr:row>50</xdr:row>
      <xdr:rowOff>17318</xdr:rowOff>
    </xdr:from>
    <xdr:to>
      <xdr:col>1</xdr:col>
      <xdr:colOff>2248864</xdr:colOff>
      <xdr:row>51</xdr:row>
      <xdr:rowOff>1461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00000000-0008-0000-05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12816" y="152400000"/>
          <a:ext cx="2041048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52</xdr:row>
      <xdr:rowOff>17318</xdr:rowOff>
    </xdr:from>
    <xdr:to>
      <xdr:col>1</xdr:col>
      <xdr:colOff>2231546</xdr:colOff>
      <xdr:row>53</xdr:row>
      <xdr:rowOff>1461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00000000-0008-0000-05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498" y="163830000"/>
          <a:ext cx="2041048" cy="1889143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432950</xdr:colOff>
      <xdr:row>23</xdr:row>
      <xdr:rowOff>34636</xdr:rowOff>
    </xdr:from>
    <xdr:to>
      <xdr:col>1</xdr:col>
      <xdr:colOff>2022664</xdr:colOff>
      <xdr:row>23</xdr:row>
      <xdr:rowOff>1886826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37950" y="43849636"/>
          <a:ext cx="1589714" cy="18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432950</xdr:colOff>
      <xdr:row>25</xdr:row>
      <xdr:rowOff>34636</xdr:rowOff>
    </xdr:from>
    <xdr:to>
      <xdr:col>1</xdr:col>
      <xdr:colOff>2022664</xdr:colOff>
      <xdr:row>25</xdr:row>
      <xdr:rowOff>1886826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37950" y="47659636"/>
          <a:ext cx="1589714" cy="18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432956</xdr:colOff>
      <xdr:row>24</xdr:row>
      <xdr:rowOff>34636</xdr:rowOff>
    </xdr:from>
    <xdr:to>
      <xdr:col>1</xdr:col>
      <xdr:colOff>2025146</xdr:colOff>
      <xdr:row>24</xdr:row>
      <xdr:rowOff>1884350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00000000-0008-0000-05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37956" y="45754636"/>
          <a:ext cx="1592190" cy="1849714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432956</xdr:colOff>
      <xdr:row>26</xdr:row>
      <xdr:rowOff>34636</xdr:rowOff>
    </xdr:from>
    <xdr:to>
      <xdr:col>1</xdr:col>
      <xdr:colOff>2025146</xdr:colOff>
      <xdr:row>26</xdr:row>
      <xdr:rowOff>1884350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00000000-0008-0000-05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37956" y="49564636"/>
          <a:ext cx="1592190" cy="1849714"/>
        </a:xfrm>
        <a:prstGeom prst="rect">
          <a:avLst/>
        </a:prstGeom>
      </xdr:spPr>
    </xdr:pic>
    <xdr:clientData/>
  </xdr:twoCellAnchor>
  <xdr:twoCellAnchor editAs="oneCell">
    <xdr:from>
      <xdr:col>1</xdr:col>
      <xdr:colOff>467589</xdr:colOff>
      <xdr:row>121</xdr:row>
      <xdr:rowOff>34636</xdr:rowOff>
    </xdr:from>
    <xdr:to>
      <xdr:col>1</xdr:col>
      <xdr:colOff>2057303</xdr:colOff>
      <xdr:row>121</xdr:row>
      <xdr:rowOff>1886826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72589" y="436262318"/>
          <a:ext cx="1589714" cy="18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467589</xdr:colOff>
      <xdr:row>123</xdr:row>
      <xdr:rowOff>34636</xdr:rowOff>
    </xdr:from>
    <xdr:to>
      <xdr:col>1</xdr:col>
      <xdr:colOff>2057303</xdr:colOff>
      <xdr:row>123</xdr:row>
      <xdr:rowOff>1886826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00000000-0008-0000-05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72589" y="447692318"/>
          <a:ext cx="1589714" cy="18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467590</xdr:colOff>
      <xdr:row>122</xdr:row>
      <xdr:rowOff>34636</xdr:rowOff>
    </xdr:from>
    <xdr:to>
      <xdr:col>1</xdr:col>
      <xdr:colOff>2059780</xdr:colOff>
      <xdr:row>122</xdr:row>
      <xdr:rowOff>1884350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00000000-0008-0000-05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2590" y="441977318"/>
          <a:ext cx="1592190" cy="1849714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467590</xdr:colOff>
      <xdr:row>124</xdr:row>
      <xdr:rowOff>34636</xdr:rowOff>
    </xdr:from>
    <xdr:to>
      <xdr:col>1</xdr:col>
      <xdr:colOff>2059780</xdr:colOff>
      <xdr:row>124</xdr:row>
      <xdr:rowOff>1884350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00000000-0008-0000-05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2590" y="453407318"/>
          <a:ext cx="1592190" cy="1849714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84</xdr:row>
      <xdr:rowOff>54428</xdr:rowOff>
    </xdr:from>
    <xdr:to>
      <xdr:col>1</xdr:col>
      <xdr:colOff>2186567</xdr:colOff>
      <xdr:row>84</xdr:row>
      <xdr:rowOff>1883228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00000000-0008-0000-05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8579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83</xdr:row>
      <xdr:rowOff>54428</xdr:rowOff>
    </xdr:from>
    <xdr:to>
      <xdr:col>1</xdr:col>
      <xdr:colOff>2186567</xdr:colOff>
      <xdr:row>83</xdr:row>
      <xdr:rowOff>1883228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00000000-0008-0000-05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8388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82</xdr:row>
      <xdr:rowOff>54428</xdr:rowOff>
    </xdr:from>
    <xdr:to>
      <xdr:col>1</xdr:col>
      <xdr:colOff>2186567</xdr:colOff>
      <xdr:row>82</xdr:row>
      <xdr:rowOff>1883228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7817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81</xdr:row>
      <xdr:rowOff>54428</xdr:rowOff>
    </xdr:from>
    <xdr:to>
      <xdr:col>1</xdr:col>
      <xdr:colOff>2186567</xdr:colOff>
      <xdr:row>81</xdr:row>
      <xdr:rowOff>1883228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00000-0008-0000-05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7626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80</xdr:row>
      <xdr:rowOff>54428</xdr:rowOff>
    </xdr:from>
    <xdr:to>
      <xdr:col>1</xdr:col>
      <xdr:colOff>2186567</xdr:colOff>
      <xdr:row>80</xdr:row>
      <xdr:rowOff>1883228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7055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79</xdr:row>
      <xdr:rowOff>54428</xdr:rowOff>
    </xdr:from>
    <xdr:to>
      <xdr:col>1</xdr:col>
      <xdr:colOff>2186567</xdr:colOff>
      <xdr:row>79</xdr:row>
      <xdr:rowOff>1883228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6864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78</xdr:row>
      <xdr:rowOff>54428</xdr:rowOff>
    </xdr:from>
    <xdr:to>
      <xdr:col>1</xdr:col>
      <xdr:colOff>2186567</xdr:colOff>
      <xdr:row>78</xdr:row>
      <xdr:rowOff>1883228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6293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77</xdr:row>
      <xdr:rowOff>54428</xdr:rowOff>
    </xdr:from>
    <xdr:to>
      <xdr:col>1</xdr:col>
      <xdr:colOff>2186567</xdr:colOff>
      <xdr:row>77</xdr:row>
      <xdr:rowOff>1883228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6102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76</xdr:row>
      <xdr:rowOff>54428</xdr:rowOff>
    </xdr:from>
    <xdr:to>
      <xdr:col>1</xdr:col>
      <xdr:colOff>2186567</xdr:colOff>
      <xdr:row>76</xdr:row>
      <xdr:rowOff>1883228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5531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75</xdr:row>
      <xdr:rowOff>54428</xdr:rowOff>
    </xdr:from>
    <xdr:to>
      <xdr:col>1</xdr:col>
      <xdr:colOff>2186567</xdr:colOff>
      <xdr:row>75</xdr:row>
      <xdr:rowOff>1883228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5340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74</xdr:row>
      <xdr:rowOff>54428</xdr:rowOff>
    </xdr:from>
    <xdr:to>
      <xdr:col>1</xdr:col>
      <xdr:colOff>2186567</xdr:colOff>
      <xdr:row>74</xdr:row>
      <xdr:rowOff>1883228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4769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73</xdr:row>
      <xdr:rowOff>54428</xdr:rowOff>
    </xdr:from>
    <xdr:to>
      <xdr:col>1</xdr:col>
      <xdr:colOff>2186567</xdr:colOff>
      <xdr:row>73</xdr:row>
      <xdr:rowOff>1883228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4578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72</xdr:row>
      <xdr:rowOff>54428</xdr:rowOff>
    </xdr:from>
    <xdr:to>
      <xdr:col>1</xdr:col>
      <xdr:colOff>2186567</xdr:colOff>
      <xdr:row>72</xdr:row>
      <xdr:rowOff>1883228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4007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71</xdr:row>
      <xdr:rowOff>54428</xdr:rowOff>
    </xdr:from>
    <xdr:to>
      <xdr:col>1</xdr:col>
      <xdr:colOff>2186567</xdr:colOff>
      <xdr:row>71</xdr:row>
      <xdr:rowOff>1883228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3816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70</xdr:row>
      <xdr:rowOff>54428</xdr:rowOff>
    </xdr:from>
    <xdr:to>
      <xdr:col>1</xdr:col>
      <xdr:colOff>2186567</xdr:colOff>
      <xdr:row>70</xdr:row>
      <xdr:rowOff>1883228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3245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69</xdr:row>
      <xdr:rowOff>54428</xdr:rowOff>
    </xdr:from>
    <xdr:to>
      <xdr:col>1</xdr:col>
      <xdr:colOff>2186567</xdr:colOff>
      <xdr:row>69</xdr:row>
      <xdr:rowOff>1883228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3054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68</xdr:row>
      <xdr:rowOff>54428</xdr:rowOff>
    </xdr:from>
    <xdr:to>
      <xdr:col>1</xdr:col>
      <xdr:colOff>2186567</xdr:colOff>
      <xdr:row>68</xdr:row>
      <xdr:rowOff>1883228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2483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67</xdr:row>
      <xdr:rowOff>54428</xdr:rowOff>
    </xdr:from>
    <xdr:to>
      <xdr:col>1</xdr:col>
      <xdr:colOff>2186567</xdr:colOff>
      <xdr:row>67</xdr:row>
      <xdr:rowOff>1883228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2292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65</xdr:row>
      <xdr:rowOff>54428</xdr:rowOff>
    </xdr:from>
    <xdr:to>
      <xdr:col>1</xdr:col>
      <xdr:colOff>2186567</xdr:colOff>
      <xdr:row>65</xdr:row>
      <xdr:rowOff>1883228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1530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66</xdr:row>
      <xdr:rowOff>54428</xdr:rowOff>
    </xdr:from>
    <xdr:to>
      <xdr:col>1</xdr:col>
      <xdr:colOff>2186567</xdr:colOff>
      <xdr:row>66</xdr:row>
      <xdr:rowOff>1883228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1721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64</xdr:row>
      <xdr:rowOff>54428</xdr:rowOff>
    </xdr:from>
    <xdr:to>
      <xdr:col>1</xdr:col>
      <xdr:colOff>2186567</xdr:colOff>
      <xdr:row>64</xdr:row>
      <xdr:rowOff>1883228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0959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63</xdr:row>
      <xdr:rowOff>54428</xdr:rowOff>
    </xdr:from>
    <xdr:to>
      <xdr:col>1</xdr:col>
      <xdr:colOff>2186567</xdr:colOff>
      <xdr:row>63</xdr:row>
      <xdr:rowOff>1883228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0768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62</xdr:row>
      <xdr:rowOff>54428</xdr:rowOff>
    </xdr:from>
    <xdr:to>
      <xdr:col>1</xdr:col>
      <xdr:colOff>2186567</xdr:colOff>
      <xdr:row>62</xdr:row>
      <xdr:rowOff>1883228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0197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59</xdr:row>
      <xdr:rowOff>54428</xdr:rowOff>
    </xdr:from>
    <xdr:to>
      <xdr:col>1</xdr:col>
      <xdr:colOff>2186567</xdr:colOff>
      <xdr:row>59</xdr:row>
      <xdr:rowOff>1883228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9244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60</xdr:row>
      <xdr:rowOff>54428</xdr:rowOff>
    </xdr:from>
    <xdr:to>
      <xdr:col>1</xdr:col>
      <xdr:colOff>2186567</xdr:colOff>
      <xdr:row>60</xdr:row>
      <xdr:rowOff>1883228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9435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61</xdr:row>
      <xdr:rowOff>54428</xdr:rowOff>
    </xdr:from>
    <xdr:to>
      <xdr:col>1</xdr:col>
      <xdr:colOff>2186567</xdr:colOff>
      <xdr:row>61</xdr:row>
      <xdr:rowOff>1883228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20006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58</xdr:row>
      <xdr:rowOff>54428</xdr:rowOff>
    </xdr:from>
    <xdr:to>
      <xdr:col>1</xdr:col>
      <xdr:colOff>2186567</xdr:colOff>
      <xdr:row>58</xdr:row>
      <xdr:rowOff>1883228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8673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57</xdr:row>
      <xdr:rowOff>54428</xdr:rowOff>
    </xdr:from>
    <xdr:to>
      <xdr:col>1</xdr:col>
      <xdr:colOff>2186567</xdr:colOff>
      <xdr:row>57</xdr:row>
      <xdr:rowOff>1883228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8482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53</xdr:row>
      <xdr:rowOff>54428</xdr:rowOff>
    </xdr:from>
    <xdr:to>
      <xdr:col>1</xdr:col>
      <xdr:colOff>2186567</xdr:colOff>
      <xdr:row>53</xdr:row>
      <xdr:rowOff>1883228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6958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54</xdr:row>
      <xdr:rowOff>54428</xdr:rowOff>
    </xdr:from>
    <xdr:to>
      <xdr:col>1</xdr:col>
      <xdr:colOff>2186567</xdr:colOff>
      <xdr:row>54</xdr:row>
      <xdr:rowOff>1883228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7149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55</xdr:row>
      <xdr:rowOff>54428</xdr:rowOff>
    </xdr:from>
    <xdr:to>
      <xdr:col>1</xdr:col>
      <xdr:colOff>2186567</xdr:colOff>
      <xdr:row>55</xdr:row>
      <xdr:rowOff>1883228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77205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217712</xdr:colOff>
      <xdr:row>56</xdr:row>
      <xdr:rowOff>54428</xdr:rowOff>
    </xdr:from>
    <xdr:to>
      <xdr:col>1</xdr:col>
      <xdr:colOff>2186567</xdr:colOff>
      <xdr:row>56</xdr:row>
      <xdr:rowOff>1883228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2712" y="179110821"/>
          <a:ext cx="1968855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125</xdr:row>
      <xdr:rowOff>349251</xdr:rowOff>
    </xdr:from>
    <xdr:to>
      <xdr:col>1</xdr:col>
      <xdr:colOff>1981200</xdr:colOff>
      <xdr:row>125</xdr:row>
      <xdr:rowOff>1665014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459438376"/>
          <a:ext cx="1600200" cy="1315763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126</xdr:row>
      <xdr:rowOff>158750</xdr:rowOff>
    </xdr:from>
    <xdr:to>
      <xdr:col>1</xdr:col>
      <xdr:colOff>1968500</xdr:colOff>
      <xdr:row>126</xdr:row>
      <xdr:rowOff>1787975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300" y="461152875"/>
          <a:ext cx="1600200" cy="1629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127</xdr:row>
      <xdr:rowOff>158751</xdr:rowOff>
    </xdr:from>
    <xdr:to>
      <xdr:col>1</xdr:col>
      <xdr:colOff>1981200</xdr:colOff>
      <xdr:row>127</xdr:row>
      <xdr:rowOff>1787976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463057876"/>
          <a:ext cx="1600200" cy="162922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128</xdr:row>
      <xdr:rowOff>142875</xdr:rowOff>
    </xdr:from>
    <xdr:to>
      <xdr:col>1</xdr:col>
      <xdr:colOff>1895348</xdr:colOff>
      <xdr:row>128</xdr:row>
      <xdr:rowOff>1808607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0" y="464947000"/>
          <a:ext cx="1260348" cy="1665732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129</xdr:row>
      <xdr:rowOff>142875</xdr:rowOff>
    </xdr:from>
    <xdr:to>
      <xdr:col>1</xdr:col>
      <xdr:colOff>1863598</xdr:colOff>
      <xdr:row>129</xdr:row>
      <xdr:rowOff>1808607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66852000"/>
          <a:ext cx="1260348" cy="1665732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130</xdr:row>
      <xdr:rowOff>381001</xdr:rowOff>
    </xdr:from>
    <xdr:to>
      <xdr:col>1</xdr:col>
      <xdr:colOff>2060575</xdr:colOff>
      <xdr:row>130</xdr:row>
      <xdr:rowOff>1696764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375" y="468995126"/>
          <a:ext cx="1600200" cy="1315763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131</xdr:row>
      <xdr:rowOff>174626</xdr:rowOff>
    </xdr:from>
    <xdr:to>
      <xdr:col>1</xdr:col>
      <xdr:colOff>2012950</xdr:colOff>
      <xdr:row>131</xdr:row>
      <xdr:rowOff>1803851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0" y="470693751"/>
          <a:ext cx="1600200" cy="1629225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132</xdr:row>
      <xdr:rowOff>349250</xdr:rowOff>
    </xdr:from>
    <xdr:to>
      <xdr:col>1</xdr:col>
      <xdr:colOff>1815973</xdr:colOff>
      <xdr:row>132</xdr:row>
      <xdr:rowOff>1632458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5" y="472773375"/>
          <a:ext cx="1260348" cy="1283208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133</xdr:row>
      <xdr:rowOff>127000</xdr:rowOff>
    </xdr:from>
    <xdr:to>
      <xdr:col>1</xdr:col>
      <xdr:colOff>1847723</xdr:colOff>
      <xdr:row>133</xdr:row>
      <xdr:rowOff>1792732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375" y="474456125"/>
          <a:ext cx="1260348" cy="1665732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134</xdr:row>
      <xdr:rowOff>190500</xdr:rowOff>
    </xdr:from>
    <xdr:to>
      <xdr:col>1</xdr:col>
      <xdr:colOff>1847723</xdr:colOff>
      <xdr:row>134</xdr:row>
      <xdr:rowOff>1856232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375" y="476424625"/>
          <a:ext cx="1260348" cy="1665732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135</xdr:row>
      <xdr:rowOff>95250</xdr:rowOff>
    </xdr:from>
    <xdr:to>
      <xdr:col>1</xdr:col>
      <xdr:colOff>1994535</xdr:colOff>
      <xdr:row>135</xdr:row>
      <xdr:rowOff>1789938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78234375"/>
          <a:ext cx="1470660" cy="1694688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136</xdr:row>
      <xdr:rowOff>63500</xdr:rowOff>
    </xdr:from>
    <xdr:to>
      <xdr:col>1</xdr:col>
      <xdr:colOff>1904999</xdr:colOff>
      <xdr:row>136</xdr:row>
      <xdr:rowOff>1850400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4" y="480107625"/>
          <a:ext cx="1285875" cy="1786900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137</xdr:row>
      <xdr:rowOff>47625</xdr:rowOff>
    </xdr:from>
    <xdr:to>
      <xdr:col>1</xdr:col>
      <xdr:colOff>1889125</xdr:colOff>
      <xdr:row>137</xdr:row>
      <xdr:rowOff>1834525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81996750"/>
          <a:ext cx="1285875" cy="17869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138</xdr:row>
      <xdr:rowOff>142875</xdr:rowOff>
    </xdr:from>
    <xdr:to>
      <xdr:col>1</xdr:col>
      <xdr:colOff>2047875</xdr:colOff>
      <xdr:row>138</xdr:row>
      <xdr:rowOff>1799766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83997000"/>
          <a:ext cx="1524000" cy="165689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139</xdr:row>
      <xdr:rowOff>127001</xdr:rowOff>
    </xdr:from>
    <xdr:to>
      <xdr:col>1</xdr:col>
      <xdr:colOff>1905000</xdr:colOff>
      <xdr:row>139</xdr:row>
      <xdr:rowOff>1798161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485886126"/>
          <a:ext cx="1285875" cy="167116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140</xdr:row>
      <xdr:rowOff>127000</xdr:rowOff>
    </xdr:from>
    <xdr:to>
      <xdr:col>1</xdr:col>
      <xdr:colOff>1913918</xdr:colOff>
      <xdr:row>140</xdr:row>
      <xdr:rowOff>1809750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487791125"/>
          <a:ext cx="1294793" cy="16827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141</xdr:row>
      <xdr:rowOff>127000</xdr:rowOff>
    </xdr:from>
    <xdr:to>
      <xdr:col>1</xdr:col>
      <xdr:colOff>2143125</xdr:colOff>
      <xdr:row>141</xdr:row>
      <xdr:rowOff>1746418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0" y="489696125"/>
          <a:ext cx="1920875" cy="1619418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142</xdr:row>
      <xdr:rowOff>142875</xdr:rowOff>
    </xdr:from>
    <xdr:to>
      <xdr:col>1</xdr:col>
      <xdr:colOff>2020268</xdr:colOff>
      <xdr:row>142</xdr:row>
      <xdr:rowOff>1825625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125" y="491617000"/>
          <a:ext cx="1655143" cy="1682750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143</xdr:row>
      <xdr:rowOff>95250</xdr:rowOff>
    </xdr:from>
    <xdr:to>
      <xdr:col>1</xdr:col>
      <xdr:colOff>2016125</xdr:colOff>
      <xdr:row>143</xdr:row>
      <xdr:rowOff>1838347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625" y="493474375"/>
          <a:ext cx="1714500" cy="174309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144</xdr:row>
      <xdr:rowOff>158749</xdr:rowOff>
    </xdr:from>
    <xdr:to>
      <xdr:col>1</xdr:col>
      <xdr:colOff>2159000</xdr:colOff>
      <xdr:row>144</xdr:row>
      <xdr:rowOff>1769840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95442874"/>
          <a:ext cx="1968500" cy="1611091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145</xdr:row>
      <xdr:rowOff>111125</xdr:rowOff>
    </xdr:from>
    <xdr:to>
      <xdr:col>1</xdr:col>
      <xdr:colOff>2032000</xdr:colOff>
      <xdr:row>145</xdr:row>
      <xdr:rowOff>1788509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0" y="497300250"/>
          <a:ext cx="1714500" cy="1677384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365124</xdr:colOff>
      <xdr:row>146</xdr:row>
      <xdr:rowOff>127000</xdr:rowOff>
    </xdr:from>
    <xdr:to>
      <xdr:col>1</xdr:col>
      <xdr:colOff>2063749</xdr:colOff>
      <xdr:row>146</xdr:row>
      <xdr:rowOff>1788853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124" y="499221125"/>
          <a:ext cx="1698625" cy="1661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AssyMatrix" displayName="AssyMatrix" ref="A2:CT181" totalsRowCount="1" headerRowDxfId="213" dataDxfId="212" totalsRowDxfId="211">
  <tableColumns count="98">
    <tableColumn id="1" name="Model #" totalsRowLabel="Total" dataDxfId="210" totalsRowDxfId="209"/>
    <tableColumn id="2" name="Description" dataDxfId="208" totalsRowDxfId="207"/>
    <tableColumn id="3" name="Assy001" totalsRowFunction="sum" dataDxfId="206" totalsRowDxfId="205"/>
    <tableColumn id="68" name="Assy001BC" totalsRowFunction="sum" dataDxfId="204" totalsRowDxfId="203"/>
    <tableColumn id="67" name="Assy001SCT" totalsRowFunction="sum" dataDxfId="202" totalsRowDxfId="201"/>
    <tableColumn id="66" name="Assy001SCB" totalsRowFunction="sum" dataDxfId="200" totalsRowDxfId="199"/>
    <tableColumn id="65" name="Assy001BP" totalsRowFunction="sum" dataDxfId="198" totalsRowDxfId="197"/>
    <tableColumn id="4" name="Assy002" totalsRowFunction="sum" dataDxfId="196" totalsRowDxfId="195"/>
    <tableColumn id="5" name="Assy003" totalsRowFunction="sum" dataDxfId="194" totalsRowDxfId="193"/>
    <tableColumn id="72" name="Assy003BC" totalsRowFunction="sum" dataDxfId="192" totalsRowDxfId="191"/>
    <tableColumn id="71" name="Assy003SCT" totalsRowFunction="sum" dataDxfId="190" totalsRowDxfId="189"/>
    <tableColumn id="70" name="Assy003SCB" totalsRowFunction="sum" dataDxfId="188" totalsRowDxfId="187"/>
    <tableColumn id="69" name="Assy003BP" totalsRowFunction="sum" dataDxfId="186" totalsRowDxfId="185"/>
    <tableColumn id="6" name="Assy004" totalsRowFunction="sum" dataDxfId="184" totalsRowDxfId="183"/>
    <tableColumn id="76" name="Assy004BC" totalsRowFunction="sum" dataDxfId="182" totalsRowDxfId="181"/>
    <tableColumn id="75" name="Assy004SCT" totalsRowFunction="sum" dataDxfId="180" totalsRowDxfId="179"/>
    <tableColumn id="74" name="Assy004SCB" totalsRowFunction="sum" dataDxfId="178" totalsRowDxfId="177"/>
    <tableColumn id="73" name="Assy004BP" totalsRowFunction="sum" dataDxfId="176" totalsRowDxfId="175"/>
    <tableColumn id="8" name="Assy006" totalsRowFunction="sum" dataDxfId="174" totalsRowDxfId="173"/>
    <tableColumn id="10" name="Assy008" totalsRowFunction="sum" dataDxfId="172" totalsRowDxfId="171"/>
    <tableColumn id="80" name="Assy008BC" totalsRowFunction="sum" dataDxfId="170" totalsRowDxfId="169"/>
    <tableColumn id="79" name="Assy008SCT" totalsRowFunction="sum" dataDxfId="168" totalsRowDxfId="167"/>
    <tableColumn id="78" name="Assy008SCB" totalsRowFunction="sum" dataDxfId="166" totalsRowDxfId="165"/>
    <tableColumn id="77" name="Assy008BP" totalsRowFunction="sum" dataDxfId="164" totalsRowDxfId="163"/>
    <tableColumn id="11" name="Assy009" totalsRowFunction="sum" dataDxfId="162" totalsRowDxfId="161"/>
    <tableColumn id="51" name="Assy033" totalsRowFunction="sum" dataDxfId="160" totalsRowDxfId="159"/>
    <tableColumn id="12" name="Assy010U" totalsRowFunction="sum" dataDxfId="158" totalsRowDxfId="157"/>
    <tableColumn id="13" name="Assy011U" totalsRowFunction="sum" dataDxfId="156" totalsRowDxfId="155"/>
    <tableColumn id="14" name="Assy012U" totalsRowFunction="sum" dataDxfId="154" totalsRowDxfId="153"/>
    <tableColumn id="15" name="Assy013U" totalsRowFunction="sum" dataDxfId="152" totalsRowDxfId="151"/>
    <tableColumn id="16" name="Assy010V" totalsRowFunction="sum" dataDxfId="150" totalsRowDxfId="149"/>
    <tableColumn id="17" name="Assy011V" totalsRowFunction="sum" dataDxfId="148" totalsRowDxfId="147"/>
    <tableColumn id="18" name="Assy012V" totalsRowFunction="sum" dataDxfId="146" totalsRowDxfId="145"/>
    <tableColumn id="19" name="Assy013V" totalsRowFunction="sum" dataDxfId="144" totalsRowDxfId="143"/>
    <tableColumn id="20" name="Assy010L" totalsRowFunction="sum" dataDxfId="142" totalsRowDxfId="141"/>
    <tableColumn id="21" name="Assy011L" totalsRowFunction="sum" dataDxfId="140" totalsRowDxfId="139"/>
    <tableColumn id="22" name="Assy012L" totalsRowFunction="sum" dataDxfId="138" totalsRowDxfId="137"/>
    <tableColumn id="23" name="Assy013L" totalsRowFunction="sum" dataDxfId="136" totalsRowDxfId="135"/>
    <tableColumn id="50" name="Assy010W" totalsRowFunction="sum" dataDxfId="134" totalsRowDxfId="133"/>
    <tableColumn id="49" name="Assy011W" totalsRowFunction="sum" dataDxfId="132" totalsRowDxfId="131"/>
    <tableColumn id="48" name="Assy012W" totalsRowFunction="sum" dataDxfId="130" totalsRowDxfId="129"/>
    <tableColumn id="47" name="Assy013W" totalsRowFunction="sum" dataDxfId="128" totalsRowDxfId="127"/>
    <tableColumn id="7" name="Assy005" totalsRowFunction="sum" dataDxfId="126" totalsRowDxfId="125"/>
    <tableColumn id="9" name="Assy007" totalsRowFunction="sum" dataDxfId="124" totalsRowDxfId="123"/>
    <tableColumn id="24" name="Assy014" totalsRowFunction="sum" dataDxfId="122" totalsRowDxfId="121"/>
    <tableColumn id="25" name="Assy015" totalsRowFunction="sum" dataDxfId="120" totalsRowDxfId="119"/>
    <tableColumn id="26" name="Assy016" totalsRowFunction="sum" dataDxfId="118" totalsRowDxfId="117"/>
    <tableColumn id="27" name="Assy017" totalsRowFunction="sum" dataDxfId="116" totalsRowDxfId="115"/>
    <tableColumn id="28" name="Assy018" totalsRowFunction="sum" dataDxfId="114" totalsRowDxfId="113"/>
    <tableColumn id="29" name="Assy019" totalsRowFunction="sum" dataDxfId="112" totalsRowDxfId="111"/>
    <tableColumn id="30" name="Assy020" totalsRowFunction="sum" dataDxfId="110" totalsRowDxfId="109"/>
    <tableColumn id="31" name="Assy021" totalsRowFunction="sum" dataDxfId="108" totalsRowDxfId="107"/>
    <tableColumn id="42" name="Assy032" totalsRowFunction="sum" dataDxfId="106" totalsRowDxfId="105"/>
    <tableColumn id="32" name="Assy022" totalsRowFunction="sum" dataDxfId="104" totalsRowDxfId="103"/>
    <tableColumn id="33" name="Assy023" totalsRowFunction="sum" dataDxfId="102" totalsRowDxfId="101"/>
    <tableColumn id="34" name="Assy024" totalsRowFunction="sum" dataDxfId="100" totalsRowDxfId="99"/>
    <tableColumn id="35" name="Assy025" totalsRowFunction="sum" dataDxfId="98" totalsRowDxfId="97"/>
    <tableColumn id="36" name="Assy026" totalsRowFunction="sum" dataDxfId="96" totalsRowDxfId="95"/>
    <tableColumn id="37" name="Assy027" totalsRowFunction="sum" dataDxfId="94" totalsRowDxfId="93"/>
    <tableColumn id="38" name="Assy028" totalsRowFunction="sum" dataDxfId="92" totalsRowDxfId="91"/>
    <tableColumn id="39" name="Assy029" totalsRowFunction="sum" dataDxfId="90" totalsRowDxfId="89"/>
    <tableColumn id="40" name="Assy030" totalsRowFunction="sum" dataDxfId="88" totalsRowDxfId="87"/>
    <tableColumn id="41" name="Assy031" totalsRowFunction="sum" dataDxfId="86" totalsRowDxfId="85"/>
    <tableColumn id="43" name="Assy055" totalsRowFunction="sum" dataDxfId="84" totalsRowDxfId="83"/>
    <tableColumn id="44" name="Assy056" totalsRowFunction="sum" dataDxfId="82" totalsRowDxfId="81"/>
    <tableColumn id="45" name="Assy057" totalsRowFunction="sum" dataDxfId="80" totalsRowDxfId="79"/>
    <tableColumn id="46" name="Assy058" totalsRowFunction="sum" dataDxfId="78" totalsRowDxfId="77"/>
    <tableColumn id="52" name="Assy059" totalsRowFunction="sum" dataDxfId="76" totalsRowDxfId="75"/>
    <tableColumn id="53" name="Assy060" totalsRowFunction="sum" dataDxfId="74" totalsRowDxfId="73"/>
    <tableColumn id="54" name="Assy061" totalsRowFunction="sum" dataDxfId="72" totalsRowDxfId="71"/>
    <tableColumn id="55" name="Assy062" totalsRowFunction="sum" dataDxfId="70" totalsRowDxfId="69"/>
    <tableColumn id="56" name="Assy063" totalsRowFunction="sum" dataDxfId="68" totalsRowDxfId="67"/>
    <tableColumn id="57" name="Assy064" totalsRowFunction="sum" dataDxfId="66" totalsRowDxfId="65"/>
    <tableColumn id="58" name="Assy065" totalsRowFunction="sum" dataDxfId="64" totalsRowDxfId="63"/>
    <tableColumn id="59" name="Assy065BC" totalsRowFunction="sum" dataDxfId="62" totalsRowDxfId="61"/>
    <tableColumn id="60" name="Assy065BP" totalsRowFunction="sum" dataDxfId="60" totalsRowDxfId="59"/>
    <tableColumn id="62" name="Assy066" totalsRowFunction="sum" dataDxfId="58" totalsRowDxfId="57"/>
    <tableColumn id="63" name="Assy067" totalsRowFunction="sum" dataDxfId="56" totalsRowDxfId="55"/>
    <tableColumn id="64" name="Assy067U" totalsRowFunction="sum" dataDxfId="54" totalsRowDxfId="53"/>
    <tableColumn id="81" name="Assy068" totalsRowFunction="sum" dataDxfId="52" totalsRowDxfId="51"/>
    <tableColumn id="82" name="Assy069" totalsRowFunction="sum" dataDxfId="50" totalsRowDxfId="49"/>
    <tableColumn id="83" name="Assy070" totalsRowFunction="sum" dataDxfId="48" totalsRowDxfId="47"/>
    <tableColumn id="84" name="Assy071" totalsRowFunction="sum" dataDxfId="46" totalsRowDxfId="45"/>
    <tableColumn id="61" name="Assy072" totalsRowFunction="sum" dataDxfId="44" totalsRowDxfId="43"/>
    <tableColumn id="85" name="Assy072BC" totalsRowFunction="sum" dataDxfId="42" totalsRowDxfId="41"/>
    <tableColumn id="86" name="Assy072BP" totalsRowFunction="sum" dataDxfId="40" totalsRowDxfId="39"/>
    <tableColumn id="91" name="Assy072SCB" totalsRowFunction="sum" dataDxfId="38" totalsRowDxfId="37"/>
    <tableColumn id="92" name="Assy072SCT" totalsRowFunction="sum" dataDxfId="36" totalsRowDxfId="35"/>
    <tableColumn id="87" name="Assy073" totalsRowFunction="sum" dataDxfId="34" totalsRowDxfId="33"/>
    <tableColumn id="96" name="Assy073BP" totalsRowFunction="sum" dataDxfId="32" totalsRowDxfId="31"/>
    <tableColumn id="88" name="Assy074" totalsRowFunction="sum" dataDxfId="30" totalsRowDxfId="29"/>
    <tableColumn id="89" name="Assy074BC" totalsRowFunction="sum" dataDxfId="28" totalsRowDxfId="27"/>
    <tableColumn id="90" name="Assy074BP" totalsRowFunction="sum" dataDxfId="26" totalsRowDxfId="25"/>
    <tableColumn id="93" name="Assy074SCB" totalsRowFunction="sum" dataDxfId="24" totalsRowDxfId="23"/>
    <tableColumn id="94" name="Assy074SCT" totalsRowFunction="sum" dataDxfId="22" totalsRowDxfId="21"/>
    <tableColumn id="95" name="Assy075" totalsRowFunction="sum" dataDxfId="20" totalsRowDxfId="19"/>
    <tableColumn id="97" name="Assy075BP" totalsRowFunction="sum" dataDxfId="18" totalsRowDxfId="17"/>
    <tableColumn id="98" name="Price" dataDxfId="16" totalsRowDxfId="15">
      <calculatedColumnFormula>SUMPRODUCT(AssyMatrix[[#This Row],[Assy001]:[Assy075BP]],AssyMatrix[[#Headers],[Assy001]:[Assy075BP]])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7" name="AssyList" displayName="AssyList" ref="A2:E97" totalsRowShown="0" headerRowDxfId="14" dataDxfId="13">
  <autoFilter ref="A2:E97"/>
  <sortState ref="A3:E73">
    <sortCondition ref="A2:A73"/>
  </sortState>
  <tableColumns count="5">
    <tableColumn id="1" name="Assy #" dataDxfId="12"/>
    <tableColumn id="2" name="Description" dataDxfId="11"/>
    <tableColumn id="3" name="Yard" dataDxfId="10"/>
    <tableColumn id="4" name="COM" dataDxfId="9"/>
    <tableColumn id="5" name="Sub-Category" dataDxfId="8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3" name="GradeCharge" displayName="GradeCharge" ref="A1:B14" totalsRowShown="0" headerRowDxfId="7" dataDxfId="6">
  <tableColumns count="2">
    <tableColumn id="1" name="Grade" dataDxfId="5"/>
    <tableColumn id="2" name="1 Yard Charge" dataDxfId="4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id="1" name="MultiTone" displayName="MultiTone" ref="A16:B21" totalsRowShown="0" headerRowDxfId="3" dataDxfId="2">
  <tableColumns count="2">
    <tableColumn id="1" name="Tone" dataDxfId="1"/>
    <tableColumn id="2" name="Charge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D116"/>
  <sheetViews>
    <sheetView topLeftCell="A6" zoomScale="85" zoomScaleNormal="85" workbookViewId="0">
      <selection activeCell="D37" sqref="D37"/>
    </sheetView>
  </sheetViews>
  <sheetFormatPr defaultRowHeight="14.4" x14ac:dyDescent="0.3"/>
  <cols>
    <col min="1" max="1" width="3.44140625" customWidth="1"/>
    <col min="2" max="2" width="11.6640625" customWidth="1"/>
    <col min="4" max="4" width="189.5546875" bestFit="1" customWidth="1"/>
  </cols>
  <sheetData>
    <row r="2" spans="2:4" x14ac:dyDescent="0.3">
      <c r="B2" s="100" t="s">
        <v>460</v>
      </c>
      <c r="C2" s="100"/>
      <c r="D2" s="101" t="s">
        <v>91</v>
      </c>
    </row>
    <row r="3" spans="2:4" x14ac:dyDescent="0.3">
      <c r="B3" s="57" t="s">
        <v>461</v>
      </c>
      <c r="C3" s="57" t="s">
        <v>462</v>
      </c>
      <c r="D3" s="102"/>
    </row>
    <row r="4" spans="2:4" x14ac:dyDescent="0.3">
      <c r="B4" s="58">
        <v>42445</v>
      </c>
      <c r="C4" s="59" t="s">
        <v>463</v>
      </c>
      <c r="D4" s="60" t="s">
        <v>464</v>
      </c>
    </row>
    <row r="5" spans="2:4" x14ac:dyDescent="0.3">
      <c r="B5" s="58">
        <v>42446</v>
      </c>
      <c r="C5" s="59" t="s">
        <v>463</v>
      </c>
      <c r="D5" s="60" t="s">
        <v>466</v>
      </c>
    </row>
    <row r="6" spans="2:4" x14ac:dyDescent="0.3">
      <c r="B6" s="58">
        <v>42480</v>
      </c>
      <c r="C6" s="59" t="s">
        <v>463</v>
      </c>
      <c r="D6" s="60" t="s">
        <v>467</v>
      </c>
    </row>
    <row r="7" spans="2:4" x14ac:dyDescent="0.3">
      <c r="B7" s="58">
        <v>42487</v>
      </c>
      <c r="C7" s="59" t="s">
        <v>463</v>
      </c>
      <c r="D7" s="60" t="s">
        <v>468</v>
      </c>
    </row>
    <row r="8" spans="2:4" x14ac:dyDescent="0.3">
      <c r="B8" s="58">
        <v>42564</v>
      </c>
      <c r="C8" s="59" t="s">
        <v>463</v>
      </c>
      <c r="D8" s="60" t="s">
        <v>501</v>
      </c>
    </row>
    <row r="9" spans="2:4" x14ac:dyDescent="0.3">
      <c r="B9" s="58">
        <v>42565</v>
      </c>
      <c r="C9" s="59" t="s">
        <v>463</v>
      </c>
      <c r="D9" s="60" t="s">
        <v>503</v>
      </c>
    </row>
    <row r="10" spans="2:4" x14ac:dyDescent="0.3">
      <c r="B10" s="58">
        <v>42571</v>
      </c>
      <c r="C10" s="59" t="s">
        <v>463</v>
      </c>
      <c r="D10" s="60" t="s">
        <v>543</v>
      </c>
    </row>
    <row r="11" spans="2:4" x14ac:dyDescent="0.3">
      <c r="B11" s="58">
        <v>42648</v>
      </c>
      <c r="C11" s="59" t="s">
        <v>463</v>
      </c>
      <c r="D11" s="60" t="s">
        <v>550</v>
      </c>
    </row>
    <row r="12" spans="2:4" x14ac:dyDescent="0.3">
      <c r="B12" s="58">
        <v>42671</v>
      </c>
      <c r="C12" s="59" t="s">
        <v>463</v>
      </c>
      <c r="D12" s="60" t="s">
        <v>551</v>
      </c>
    </row>
    <row r="13" spans="2:4" x14ac:dyDescent="0.3">
      <c r="B13" s="58">
        <v>42682</v>
      </c>
      <c r="C13" s="59" t="s">
        <v>463</v>
      </c>
      <c r="D13" s="60" t="s">
        <v>552</v>
      </c>
    </row>
    <row r="14" spans="2:4" x14ac:dyDescent="0.3">
      <c r="B14" s="58">
        <v>42724</v>
      </c>
      <c r="C14" s="59" t="s">
        <v>463</v>
      </c>
      <c r="D14" s="60" t="s">
        <v>554</v>
      </c>
    </row>
    <row r="15" spans="2:4" x14ac:dyDescent="0.3">
      <c r="B15" s="58">
        <v>42370</v>
      </c>
      <c r="C15" s="59" t="s">
        <v>463</v>
      </c>
      <c r="D15" s="60" t="s">
        <v>555</v>
      </c>
    </row>
    <row r="16" spans="2:4" x14ac:dyDescent="0.3">
      <c r="B16" s="58">
        <v>42849</v>
      </c>
      <c r="C16" s="59" t="s">
        <v>607</v>
      </c>
      <c r="D16" s="60" t="s">
        <v>608</v>
      </c>
    </row>
    <row r="17" spans="2:4" x14ac:dyDescent="0.3">
      <c r="B17" s="58">
        <v>42859</v>
      </c>
      <c r="C17" s="59" t="s">
        <v>607</v>
      </c>
      <c r="D17" s="60" t="s">
        <v>609</v>
      </c>
    </row>
    <row r="18" spans="2:4" x14ac:dyDescent="0.3">
      <c r="B18" s="58">
        <v>42891</v>
      </c>
      <c r="C18" s="59" t="s">
        <v>607</v>
      </c>
      <c r="D18" s="60" t="s">
        <v>614</v>
      </c>
    </row>
    <row r="19" spans="2:4" x14ac:dyDescent="0.3">
      <c r="B19" s="58">
        <v>42899</v>
      </c>
      <c r="C19" s="59" t="s">
        <v>607</v>
      </c>
      <c r="D19" s="60" t="s">
        <v>668</v>
      </c>
    </row>
    <row r="20" spans="2:4" x14ac:dyDescent="0.3">
      <c r="B20" s="58">
        <v>42900</v>
      </c>
      <c r="C20" s="59" t="s">
        <v>607</v>
      </c>
      <c r="D20" s="60" t="s">
        <v>669</v>
      </c>
    </row>
    <row r="21" spans="2:4" x14ac:dyDescent="0.3">
      <c r="B21" s="58">
        <v>42923</v>
      </c>
      <c r="C21" s="59" t="s">
        <v>607</v>
      </c>
      <c r="D21" s="60" t="s">
        <v>670</v>
      </c>
    </row>
    <row r="22" spans="2:4" x14ac:dyDescent="0.3">
      <c r="B22" s="58">
        <v>42935</v>
      </c>
      <c r="C22" s="59" t="s">
        <v>607</v>
      </c>
      <c r="D22" s="60" t="s">
        <v>671</v>
      </c>
    </row>
    <row r="23" spans="2:4" x14ac:dyDescent="0.3">
      <c r="B23" s="58">
        <v>42968</v>
      </c>
      <c r="C23" s="59" t="s">
        <v>463</v>
      </c>
      <c r="D23" s="60" t="s">
        <v>786</v>
      </c>
    </row>
    <row r="24" spans="2:4" x14ac:dyDescent="0.3">
      <c r="B24" s="58">
        <v>43053</v>
      </c>
      <c r="C24" s="59" t="s">
        <v>787</v>
      </c>
      <c r="D24" s="60" t="s">
        <v>788</v>
      </c>
    </row>
    <row r="25" spans="2:4" x14ac:dyDescent="0.3">
      <c r="B25" s="58">
        <v>43185</v>
      </c>
      <c r="C25" s="59" t="s">
        <v>787</v>
      </c>
      <c r="D25" s="60" t="s">
        <v>790</v>
      </c>
    </row>
    <row r="26" spans="2:4" x14ac:dyDescent="0.3">
      <c r="B26" s="58">
        <v>43423</v>
      </c>
      <c r="C26" s="59" t="s">
        <v>787</v>
      </c>
      <c r="D26" s="60" t="s">
        <v>793</v>
      </c>
    </row>
    <row r="27" spans="2:4" x14ac:dyDescent="0.3">
      <c r="B27" s="58">
        <v>43619</v>
      </c>
      <c r="C27" s="59" t="s">
        <v>787</v>
      </c>
      <c r="D27" s="60" t="s">
        <v>794</v>
      </c>
    </row>
    <row r="28" spans="2:4" x14ac:dyDescent="0.3">
      <c r="B28" s="58">
        <v>43854</v>
      </c>
      <c r="C28" s="59" t="s">
        <v>787</v>
      </c>
      <c r="D28" s="60" t="s">
        <v>797</v>
      </c>
    </row>
    <row r="29" spans="2:4" x14ac:dyDescent="0.3">
      <c r="B29" s="58">
        <v>43871</v>
      </c>
      <c r="C29" s="59" t="s">
        <v>787</v>
      </c>
      <c r="D29" s="60" t="s">
        <v>798</v>
      </c>
    </row>
    <row r="30" spans="2:4" x14ac:dyDescent="0.3">
      <c r="B30" s="58">
        <v>43894</v>
      </c>
      <c r="C30" s="59" t="s">
        <v>787</v>
      </c>
      <c r="D30" s="60" t="s">
        <v>799</v>
      </c>
    </row>
    <row r="31" spans="2:4" x14ac:dyDescent="0.3">
      <c r="B31" s="58">
        <v>43895</v>
      </c>
      <c r="C31" s="59" t="s">
        <v>787</v>
      </c>
      <c r="D31" s="60" t="s">
        <v>800</v>
      </c>
    </row>
    <row r="32" spans="2:4" x14ac:dyDescent="0.3">
      <c r="B32" s="58">
        <v>43896</v>
      </c>
      <c r="C32" s="59" t="s">
        <v>787</v>
      </c>
      <c r="D32" s="60" t="s">
        <v>801</v>
      </c>
    </row>
    <row r="33" spans="2:4" x14ac:dyDescent="0.3">
      <c r="B33" s="58">
        <v>43947</v>
      </c>
      <c r="C33" s="59" t="s">
        <v>787</v>
      </c>
      <c r="D33" s="60" t="s">
        <v>942</v>
      </c>
    </row>
    <row r="34" spans="2:4" x14ac:dyDescent="0.3">
      <c r="B34" s="58">
        <v>43970</v>
      </c>
      <c r="C34" s="59" t="s">
        <v>787</v>
      </c>
      <c r="D34" s="60" t="s">
        <v>943</v>
      </c>
    </row>
    <row r="35" spans="2:4" x14ac:dyDescent="0.3">
      <c r="B35" s="58">
        <v>44291</v>
      </c>
      <c r="C35" s="59" t="s">
        <v>946</v>
      </c>
      <c r="D35" s="60" t="s">
        <v>947</v>
      </c>
    </row>
    <row r="36" spans="2:4" x14ac:dyDescent="0.3">
      <c r="B36" s="58">
        <v>44547</v>
      </c>
      <c r="C36" s="59" t="s">
        <v>946</v>
      </c>
      <c r="D36" s="60" t="s">
        <v>949</v>
      </c>
    </row>
    <row r="37" spans="2:4" x14ac:dyDescent="0.3">
      <c r="B37" s="58"/>
      <c r="C37" s="59"/>
      <c r="D37" s="60"/>
    </row>
    <row r="38" spans="2:4" x14ac:dyDescent="0.3">
      <c r="B38" s="58"/>
      <c r="C38" s="59"/>
      <c r="D38" s="60"/>
    </row>
    <row r="39" spans="2:4" x14ac:dyDescent="0.3">
      <c r="B39" s="58"/>
      <c r="C39" s="59"/>
      <c r="D39" s="60"/>
    </row>
    <row r="40" spans="2:4" x14ac:dyDescent="0.3">
      <c r="B40" s="58"/>
      <c r="C40" s="59"/>
      <c r="D40" s="60"/>
    </row>
    <row r="41" spans="2:4" x14ac:dyDescent="0.3">
      <c r="B41" s="58"/>
      <c r="C41" s="59"/>
      <c r="D41" s="60"/>
    </row>
    <row r="42" spans="2:4" x14ac:dyDescent="0.3">
      <c r="B42" s="58"/>
      <c r="C42" s="59"/>
      <c r="D42" s="60"/>
    </row>
    <row r="43" spans="2:4" x14ac:dyDescent="0.3">
      <c r="B43" s="58"/>
      <c r="C43" s="59"/>
      <c r="D43" s="60"/>
    </row>
    <row r="44" spans="2:4" x14ac:dyDescent="0.3">
      <c r="B44" s="58"/>
      <c r="C44" s="59"/>
      <c r="D44" s="60"/>
    </row>
    <row r="45" spans="2:4" x14ac:dyDescent="0.3">
      <c r="B45" s="58"/>
      <c r="C45" s="59"/>
      <c r="D45" s="60"/>
    </row>
    <row r="46" spans="2:4" x14ac:dyDescent="0.3">
      <c r="B46" s="58"/>
      <c r="C46" s="59"/>
      <c r="D46" s="60"/>
    </row>
    <row r="47" spans="2:4" x14ac:dyDescent="0.3">
      <c r="B47" s="58"/>
      <c r="C47" s="59"/>
      <c r="D47" s="60"/>
    </row>
    <row r="48" spans="2:4" x14ac:dyDescent="0.3">
      <c r="B48" s="58"/>
      <c r="C48" s="59"/>
      <c r="D48" s="60"/>
    </row>
    <row r="49" spans="2:4" x14ac:dyDescent="0.3">
      <c r="B49" s="58"/>
      <c r="C49" s="59"/>
      <c r="D49" s="60"/>
    </row>
    <row r="50" spans="2:4" x14ac:dyDescent="0.3">
      <c r="B50" s="58"/>
      <c r="C50" s="59"/>
      <c r="D50" s="60"/>
    </row>
    <row r="51" spans="2:4" x14ac:dyDescent="0.3">
      <c r="B51" s="58"/>
      <c r="C51" s="59"/>
      <c r="D51" s="60"/>
    </row>
    <row r="52" spans="2:4" x14ac:dyDescent="0.3">
      <c r="B52" s="58"/>
      <c r="C52" s="59"/>
      <c r="D52" s="60"/>
    </row>
    <row r="53" spans="2:4" x14ac:dyDescent="0.3">
      <c r="B53" s="58"/>
      <c r="C53" s="59"/>
      <c r="D53" s="60"/>
    </row>
    <row r="54" spans="2:4" x14ac:dyDescent="0.3">
      <c r="B54" s="58"/>
      <c r="C54" s="59"/>
      <c r="D54" s="60"/>
    </row>
    <row r="55" spans="2:4" x14ac:dyDescent="0.3">
      <c r="B55" s="58"/>
      <c r="C55" s="59"/>
      <c r="D55" s="60"/>
    </row>
    <row r="56" spans="2:4" x14ac:dyDescent="0.3">
      <c r="B56" s="58"/>
      <c r="C56" s="59"/>
      <c r="D56" s="60"/>
    </row>
    <row r="57" spans="2:4" x14ac:dyDescent="0.3">
      <c r="B57" s="58"/>
      <c r="C57" s="59"/>
      <c r="D57" s="60"/>
    </row>
    <row r="58" spans="2:4" x14ac:dyDescent="0.3">
      <c r="B58" s="58"/>
      <c r="C58" s="59"/>
      <c r="D58" s="60"/>
    </row>
    <row r="59" spans="2:4" x14ac:dyDescent="0.3">
      <c r="B59" s="58"/>
      <c r="C59" s="59"/>
      <c r="D59" s="60"/>
    </row>
    <row r="60" spans="2:4" x14ac:dyDescent="0.3">
      <c r="B60" s="58"/>
      <c r="C60" s="59"/>
      <c r="D60" s="60"/>
    </row>
    <row r="61" spans="2:4" x14ac:dyDescent="0.3">
      <c r="B61" s="58"/>
      <c r="C61" s="59"/>
      <c r="D61" s="60"/>
    </row>
    <row r="62" spans="2:4" x14ac:dyDescent="0.3">
      <c r="B62" s="58"/>
      <c r="C62" s="59"/>
      <c r="D62" s="60"/>
    </row>
    <row r="63" spans="2:4" x14ac:dyDescent="0.3">
      <c r="B63" s="58"/>
      <c r="C63" s="59"/>
      <c r="D63" s="60"/>
    </row>
    <row r="64" spans="2:4" x14ac:dyDescent="0.3">
      <c r="B64" s="58"/>
      <c r="C64" s="59"/>
      <c r="D64" s="60"/>
    </row>
    <row r="65" spans="2:4" x14ac:dyDescent="0.3">
      <c r="B65" s="58"/>
      <c r="C65" s="59"/>
      <c r="D65" s="60"/>
    </row>
    <row r="66" spans="2:4" x14ac:dyDescent="0.3">
      <c r="B66" s="58"/>
      <c r="C66" s="59"/>
      <c r="D66" s="60"/>
    </row>
    <row r="67" spans="2:4" x14ac:dyDescent="0.3">
      <c r="B67" s="58"/>
      <c r="C67" s="59"/>
      <c r="D67" s="60"/>
    </row>
    <row r="68" spans="2:4" x14ac:dyDescent="0.3">
      <c r="B68" s="58"/>
      <c r="C68" s="59"/>
      <c r="D68" s="60"/>
    </row>
    <row r="69" spans="2:4" x14ac:dyDescent="0.3">
      <c r="B69" s="58"/>
      <c r="C69" s="59"/>
      <c r="D69" s="60"/>
    </row>
    <row r="70" spans="2:4" x14ac:dyDescent="0.3">
      <c r="B70" s="58"/>
      <c r="C70" s="59"/>
      <c r="D70" s="60"/>
    </row>
    <row r="71" spans="2:4" x14ac:dyDescent="0.3">
      <c r="B71" s="58"/>
      <c r="C71" s="59"/>
      <c r="D71" s="60"/>
    </row>
    <row r="72" spans="2:4" x14ac:dyDescent="0.3">
      <c r="B72" s="58"/>
      <c r="C72" s="59"/>
      <c r="D72" s="60"/>
    </row>
    <row r="73" spans="2:4" x14ac:dyDescent="0.3">
      <c r="B73" s="58"/>
      <c r="C73" s="59"/>
      <c r="D73" s="60"/>
    </row>
    <row r="74" spans="2:4" x14ac:dyDescent="0.3">
      <c r="B74" s="58"/>
      <c r="C74" s="59"/>
      <c r="D74" s="60"/>
    </row>
    <row r="75" spans="2:4" x14ac:dyDescent="0.3">
      <c r="B75" s="58"/>
      <c r="C75" s="59"/>
      <c r="D75" s="60"/>
    </row>
    <row r="76" spans="2:4" x14ac:dyDescent="0.3">
      <c r="B76" s="58"/>
      <c r="C76" s="59"/>
      <c r="D76" s="60"/>
    </row>
    <row r="77" spans="2:4" x14ac:dyDescent="0.3">
      <c r="B77" s="58"/>
      <c r="C77" s="59"/>
      <c r="D77" s="60"/>
    </row>
    <row r="78" spans="2:4" x14ac:dyDescent="0.3">
      <c r="B78" s="58"/>
      <c r="C78" s="59"/>
      <c r="D78" s="60"/>
    </row>
    <row r="79" spans="2:4" x14ac:dyDescent="0.3">
      <c r="B79" s="58"/>
      <c r="C79" s="59"/>
      <c r="D79" s="60"/>
    </row>
    <row r="80" spans="2:4" x14ac:dyDescent="0.3">
      <c r="B80" s="58"/>
      <c r="C80" s="59"/>
      <c r="D80" s="60"/>
    </row>
    <row r="81" spans="2:4" x14ac:dyDescent="0.3">
      <c r="B81" s="58"/>
      <c r="C81" s="59"/>
      <c r="D81" s="60"/>
    </row>
    <row r="82" spans="2:4" x14ac:dyDescent="0.3">
      <c r="B82" s="58"/>
      <c r="C82" s="59"/>
      <c r="D82" s="60"/>
    </row>
    <row r="83" spans="2:4" x14ac:dyDescent="0.3">
      <c r="B83" s="58"/>
      <c r="C83" s="59"/>
      <c r="D83" s="60"/>
    </row>
    <row r="84" spans="2:4" x14ac:dyDescent="0.3">
      <c r="B84" s="58"/>
      <c r="C84" s="59"/>
      <c r="D84" s="60"/>
    </row>
    <row r="85" spans="2:4" x14ac:dyDescent="0.3">
      <c r="B85" s="59"/>
      <c r="C85" s="59"/>
      <c r="D85" s="60"/>
    </row>
    <row r="86" spans="2:4" x14ac:dyDescent="0.3">
      <c r="B86" s="59"/>
      <c r="C86" s="59"/>
      <c r="D86" s="60"/>
    </row>
    <row r="87" spans="2:4" x14ac:dyDescent="0.3">
      <c r="B87" s="58"/>
      <c r="C87" s="59"/>
      <c r="D87" s="60"/>
    </row>
    <row r="88" spans="2:4" x14ac:dyDescent="0.3">
      <c r="B88" s="59"/>
      <c r="C88" s="59"/>
      <c r="D88" s="60"/>
    </row>
    <row r="89" spans="2:4" x14ac:dyDescent="0.3">
      <c r="B89" s="58"/>
      <c r="C89" s="59"/>
      <c r="D89" s="60"/>
    </row>
    <row r="90" spans="2:4" x14ac:dyDescent="0.3">
      <c r="B90" s="59"/>
      <c r="C90" s="59"/>
      <c r="D90" s="60"/>
    </row>
    <row r="91" spans="2:4" x14ac:dyDescent="0.3">
      <c r="B91" s="59"/>
      <c r="C91" s="59"/>
      <c r="D91" s="60"/>
    </row>
    <row r="92" spans="2:4" x14ac:dyDescent="0.3">
      <c r="B92" s="58"/>
      <c r="C92" s="59"/>
      <c r="D92" s="60"/>
    </row>
    <row r="93" spans="2:4" x14ac:dyDescent="0.3">
      <c r="B93" s="59"/>
      <c r="C93" s="59"/>
      <c r="D93" s="60"/>
    </row>
    <row r="94" spans="2:4" x14ac:dyDescent="0.3">
      <c r="B94" s="59"/>
      <c r="C94" s="59"/>
      <c r="D94" s="60"/>
    </row>
    <row r="95" spans="2:4" x14ac:dyDescent="0.3">
      <c r="B95" s="59"/>
      <c r="C95" s="59"/>
      <c r="D95" s="60"/>
    </row>
    <row r="96" spans="2:4" x14ac:dyDescent="0.3">
      <c r="B96" s="59"/>
      <c r="C96" s="59"/>
      <c r="D96" s="60"/>
    </row>
    <row r="97" spans="2:4" x14ac:dyDescent="0.3">
      <c r="B97" s="59"/>
      <c r="C97" s="59"/>
      <c r="D97" s="60"/>
    </row>
    <row r="98" spans="2:4" x14ac:dyDescent="0.3">
      <c r="B98" s="58"/>
      <c r="C98" s="59"/>
      <c r="D98" s="60"/>
    </row>
    <row r="99" spans="2:4" x14ac:dyDescent="0.3">
      <c r="B99" s="58"/>
      <c r="C99" s="59"/>
      <c r="D99" s="60"/>
    </row>
    <row r="100" spans="2:4" x14ac:dyDescent="0.3">
      <c r="B100" s="58"/>
      <c r="C100" s="59"/>
      <c r="D100" s="60"/>
    </row>
    <row r="101" spans="2:4" x14ac:dyDescent="0.3">
      <c r="B101" s="59"/>
      <c r="C101" s="59"/>
      <c r="D101" s="60"/>
    </row>
    <row r="102" spans="2:4" x14ac:dyDescent="0.3">
      <c r="B102" s="59"/>
      <c r="C102" s="59"/>
      <c r="D102" s="60"/>
    </row>
    <row r="103" spans="2:4" x14ac:dyDescent="0.3">
      <c r="B103" s="58"/>
      <c r="C103" s="59"/>
      <c r="D103" s="60"/>
    </row>
    <row r="104" spans="2:4" x14ac:dyDescent="0.3">
      <c r="B104" s="59"/>
      <c r="C104" s="59"/>
      <c r="D104" s="60"/>
    </row>
    <row r="105" spans="2:4" x14ac:dyDescent="0.3">
      <c r="B105" s="58"/>
      <c r="C105" s="59"/>
      <c r="D105" s="60"/>
    </row>
    <row r="106" spans="2:4" x14ac:dyDescent="0.3">
      <c r="B106" s="59"/>
      <c r="C106" s="59"/>
      <c r="D106" s="60"/>
    </row>
    <row r="107" spans="2:4" x14ac:dyDescent="0.3">
      <c r="B107" s="59"/>
      <c r="C107" s="59"/>
      <c r="D107" s="60"/>
    </row>
    <row r="108" spans="2:4" x14ac:dyDescent="0.3">
      <c r="B108" s="58"/>
      <c r="C108" s="59"/>
      <c r="D108" s="60"/>
    </row>
    <row r="109" spans="2:4" x14ac:dyDescent="0.3">
      <c r="B109" s="59"/>
      <c r="C109" s="59"/>
      <c r="D109" s="60"/>
    </row>
    <row r="110" spans="2:4" x14ac:dyDescent="0.3">
      <c r="B110" s="59"/>
      <c r="C110" s="59"/>
      <c r="D110" s="60"/>
    </row>
    <row r="111" spans="2:4" x14ac:dyDescent="0.3">
      <c r="B111" s="59"/>
      <c r="C111" s="59"/>
      <c r="D111" s="60"/>
    </row>
    <row r="112" spans="2:4" x14ac:dyDescent="0.3">
      <c r="B112" s="59"/>
      <c r="C112" s="59"/>
      <c r="D112" s="60"/>
    </row>
    <row r="113" spans="2:4" x14ac:dyDescent="0.3">
      <c r="B113" s="59"/>
      <c r="C113" s="59"/>
      <c r="D113" s="60"/>
    </row>
    <row r="114" spans="2:4" x14ac:dyDescent="0.3">
      <c r="B114" s="58"/>
      <c r="C114" s="59"/>
      <c r="D114" s="60"/>
    </row>
    <row r="115" spans="2:4" x14ac:dyDescent="0.3">
      <c r="B115" s="58"/>
      <c r="C115" s="59"/>
      <c r="D115" s="60"/>
    </row>
    <row r="116" spans="2:4" x14ac:dyDescent="0.3">
      <c r="B116" s="58"/>
      <c r="C116" s="59"/>
      <c r="D116" s="60"/>
    </row>
  </sheetData>
  <mergeCells count="2">
    <mergeCell ref="B2:C2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66"/>
  <sheetViews>
    <sheetView showGridLines="0" tabSelected="1" zoomScaleNormal="100" workbookViewId="0">
      <selection activeCell="O33" sqref="O33"/>
    </sheetView>
  </sheetViews>
  <sheetFormatPr defaultColWidth="9.33203125" defaultRowHeight="14.4" x14ac:dyDescent="0.3"/>
  <cols>
    <col min="1" max="1" width="6.33203125" style="31" customWidth="1"/>
    <col min="2" max="2" width="9.6640625" style="31" bestFit="1" customWidth="1"/>
    <col min="3" max="3" width="16.44140625" style="31" customWidth="1"/>
    <col min="4" max="5" width="9.33203125" style="31"/>
    <col min="6" max="6" width="12.33203125" style="31" customWidth="1"/>
    <col min="7" max="7" width="11.44140625" style="31" customWidth="1"/>
    <col min="8" max="8" width="23.5546875" style="45" customWidth="1"/>
    <col min="9" max="9" width="12.5546875" style="31" customWidth="1"/>
    <col min="10" max="10" width="9.33203125" style="54" customWidth="1"/>
    <col min="11" max="12" width="9.33203125" style="31" customWidth="1"/>
    <col min="13" max="14" width="9.33203125" style="31"/>
    <col min="15" max="15" width="9.33203125" style="31" customWidth="1"/>
    <col min="16" max="16384" width="9.33203125" style="31"/>
  </cols>
  <sheetData>
    <row r="1" spans="1:15" x14ac:dyDescent="0.3">
      <c r="A1" s="28"/>
      <c r="B1" s="28"/>
      <c r="C1" s="28"/>
      <c r="D1" s="28"/>
      <c r="E1" s="28"/>
      <c r="F1" s="28"/>
      <c r="G1" s="28"/>
      <c r="H1" s="29"/>
      <c r="I1" s="28"/>
      <c r="J1" s="30"/>
      <c r="K1" s="28"/>
      <c r="L1" s="28"/>
      <c r="M1" s="28"/>
      <c r="N1" s="28"/>
      <c r="O1" s="28"/>
    </row>
    <row r="2" spans="1:15" x14ac:dyDescent="0.3">
      <c r="A2" s="28"/>
      <c r="B2" s="28"/>
      <c r="C2" s="28"/>
      <c r="D2" s="28"/>
      <c r="E2" s="28"/>
      <c r="F2" s="28"/>
      <c r="G2" s="28"/>
      <c r="H2" s="29"/>
      <c r="I2" s="28"/>
      <c r="J2" s="30"/>
      <c r="K2" s="28"/>
      <c r="L2" s="28"/>
      <c r="M2" s="28"/>
      <c r="N2" s="28"/>
      <c r="O2" s="28"/>
    </row>
    <row r="3" spans="1:15" x14ac:dyDescent="0.3">
      <c r="A3" s="28"/>
      <c r="B3" s="28"/>
      <c r="C3" s="28"/>
      <c r="D3" s="28"/>
      <c r="E3" s="28"/>
      <c r="F3" s="28"/>
      <c r="G3" s="28"/>
      <c r="H3" s="29"/>
      <c r="I3" s="28"/>
      <c r="J3" s="30"/>
      <c r="K3" s="28"/>
      <c r="L3" s="28"/>
      <c r="M3" s="28"/>
      <c r="N3" s="28"/>
      <c r="O3" s="28"/>
    </row>
    <row r="4" spans="1:15" x14ac:dyDescent="0.3">
      <c r="A4" s="28"/>
      <c r="B4" s="28"/>
      <c r="C4" s="28"/>
      <c r="D4" s="28"/>
      <c r="E4" s="97" t="s">
        <v>951</v>
      </c>
      <c r="G4" s="28"/>
      <c r="H4" s="97" t="str">
        <f>E4</f>
        <v>Effective Date: February 1st, 2022</v>
      </c>
      <c r="J4" s="30"/>
      <c r="K4" s="28"/>
      <c r="L4" s="28"/>
      <c r="M4" s="28"/>
      <c r="N4" s="28"/>
      <c r="O4" s="28"/>
    </row>
    <row r="5" spans="1:15" x14ac:dyDescent="0.3">
      <c r="A5" s="28"/>
      <c r="B5" s="74"/>
      <c r="C5" s="28"/>
      <c r="D5" s="28"/>
      <c r="E5" s="28"/>
      <c r="F5" s="28"/>
      <c r="G5" s="28"/>
      <c r="H5" s="33" t="s">
        <v>102</v>
      </c>
      <c r="I5" s="32" t="s">
        <v>91</v>
      </c>
      <c r="J5" s="34"/>
      <c r="K5" s="32"/>
      <c r="L5" s="32"/>
      <c r="M5" s="32"/>
      <c r="N5" s="32"/>
      <c r="O5" s="28"/>
    </row>
    <row r="6" spans="1:15" x14ac:dyDescent="0.3">
      <c r="A6" s="28"/>
      <c r="B6" s="32" t="s">
        <v>422</v>
      </c>
      <c r="C6" s="32"/>
      <c r="D6" s="32"/>
      <c r="E6" s="32"/>
      <c r="F6" s="32"/>
      <c r="G6" s="32"/>
      <c r="H6" s="35">
        <f>Info!B1</f>
        <v>6510</v>
      </c>
      <c r="I6" s="35" t="str">
        <f>IF(Info!C348=1,"",VLOOKUP(Info!C348,Info!B5:D181,3,FALSE))</f>
        <v>Public Lounge Unit</v>
      </c>
      <c r="J6" s="34"/>
      <c r="K6" s="32"/>
      <c r="L6" s="33"/>
      <c r="M6" s="33"/>
      <c r="N6" s="32"/>
      <c r="O6" s="28"/>
    </row>
    <row r="7" spans="1:15" x14ac:dyDescent="0.3">
      <c r="A7" s="28"/>
      <c r="B7" s="32" t="s">
        <v>423</v>
      </c>
      <c r="C7" s="32"/>
      <c r="D7" s="32"/>
      <c r="E7" s="32"/>
      <c r="F7" s="32"/>
      <c r="G7" s="32"/>
      <c r="H7" s="35"/>
      <c r="I7" s="35"/>
      <c r="J7" s="34"/>
      <c r="K7" s="32"/>
      <c r="L7" s="33"/>
      <c r="M7" s="33"/>
      <c r="N7" s="32"/>
      <c r="O7" s="28"/>
    </row>
    <row r="8" spans="1:15" x14ac:dyDescent="0.3">
      <c r="A8" s="28"/>
      <c r="B8" s="32" t="s">
        <v>434</v>
      </c>
      <c r="C8" s="32"/>
      <c r="D8" s="32"/>
      <c r="E8" s="32"/>
      <c r="F8" s="32"/>
      <c r="G8" s="32"/>
      <c r="H8" s="35"/>
      <c r="I8" s="35"/>
      <c r="J8" s="34"/>
      <c r="K8" s="32"/>
      <c r="L8" s="33"/>
      <c r="M8" s="33"/>
      <c r="N8" s="32"/>
      <c r="O8" s="28"/>
    </row>
    <row r="9" spans="1:15" x14ac:dyDescent="0.3">
      <c r="A9" s="28" t="s">
        <v>433</v>
      </c>
      <c r="B9" s="32" t="s">
        <v>435</v>
      </c>
      <c r="C9" s="32"/>
      <c r="D9" s="32"/>
      <c r="E9" s="32"/>
      <c r="F9" s="32"/>
      <c r="G9" s="32"/>
      <c r="H9" s="35" t="s">
        <v>424</v>
      </c>
      <c r="I9" s="35"/>
      <c r="J9" s="35"/>
      <c r="K9" s="33"/>
      <c r="L9" s="33"/>
      <c r="M9" s="33"/>
      <c r="N9" s="32"/>
      <c r="O9" s="28"/>
    </row>
    <row r="10" spans="1:15" x14ac:dyDescent="0.3">
      <c r="A10" s="28"/>
      <c r="B10" s="32"/>
      <c r="C10" s="32"/>
      <c r="D10" s="32"/>
      <c r="E10" s="32"/>
      <c r="F10" s="32"/>
      <c r="G10" s="32"/>
      <c r="H10" s="35"/>
      <c r="I10" s="35"/>
      <c r="J10" s="35"/>
      <c r="K10" s="33"/>
      <c r="L10" s="33"/>
      <c r="M10" s="33"/>
      <c r="N10" s="32"/>
      <c r="O10" s="28"/>
    </row>
    <row r="11" spans="1:15" x14ac:dyDescent="0.3">
      <c r="A11" s="28"/>
      <c r="B11" s="38" t="s">
        <v>456</v>
      </c>
      <c r="C11" s="32"/>
      <c r="D11" s="32"/>
      <c r="E11" s="32"/>
      <c r="F11" s="32"/>
      <c r="G11" s="32"/>
      <c r="H11" s="35"/>
      <c r="I11" s="39" t="s">
        <v>429</v>
      </c>
      <c r="J11" s="39" t="s">
        <v>430</v>
      </c>
      <c r="K11" s="33"/>
      <c r="L11" s="33"/>
      <c r="M11" s="33"/>
      <c r="N11" s="32"/>
      <c r="O11" s="28"/>
    </row>
    <row r="12" spans="1:15" x14ac:dyDescent="0.3">
      <c r="A12" s="28"/>
      <c r="B12" s="38" t="s">
        <v>457</v>
      </c>
      <c r="C12" s="32"/>
      <c r="D12" s="32"/>
      <c r="E12" s="32"/>
      <c r="F12" s="32"/>
      <c r="G12" s="32"/>
      <c r="H12" s="40" t="s">
        <v>241</v>
      </c>
      <c r="I12" s="26" t="str">
        <f>VLOOKUP(Info!C354,Info!B305:C317,2,FALSE)</f>
        <v>n/a</v>
      </c>
      <c r="J12" s="26">
        <f>Info!O315</f>
        <v>0</v>
      </c>
      <c r="K12" s="33"/>
      <c r="L12" s="33"/>
      <c r="M12" s="33"/>
      <c r="N12" s="32"/>
      <c r="O12" s="28"/>
    </row>
    <row r="13" spans="1:15" x14ac:dyDescent="0.3">
      <c r="A13" s="28"/>
      <c r="B13" s="38" t="s">
        <v>458</v>
      </c>
      <c r="C13" s="32"/>
      <c r="D13" s="32"/>
      <c r="E13" s="32"/>
      <c r="F13" s="32"/>
      <c r="G13" s="32"/>
      <c r="H13" s="40"/>
      <c r="I13" s="26"/>
      <c r="J13" s="26"/>
      <c r="K13" s="33"/>
      <c r="L13" s="33"/>
      <c r="M13" s="33"/>
      <c r="N13" s="32"/>
      <c r="O13" s="28"/>
    </row>
    <row r="14" spans="1:15" x14ac:dyDescent="0.3">
      <c r="A14" s="28"/>
      <c r="B14" s="32"/>
      <c r="C14" s="32"/>
      <c r="D14" s="32"/>
      <c r="E14" s="32"/>
      <c r="F14" s="32"/>
      <c r="G14" s="32"/>
      <c r="H14" s="40" t="s">
        <v>242</v>
      </c>
      <c r="I14" s="26" t="str">
        <f>VLOOKUP(Info!C353,Info!B283:C295,2,FALSE)</f>
        <v>n/a</v>
      </c>
      <c r="J14" s="26">
        <f>Info!O298</f>
        <v>0</v>
      </c>
      <c r="K14" s="33"/>
      <c r="L14" s="33"/>
      <c r="M14" s="33"/>
      <c r="N14" s="32"/>
      <c r="O14" s="28"/>
    </row>
    <row r="15" spans="1:15" x14ac:dyDescent="0.3">
      <c r="A15" s="28"/>
      <c r="B15" s="63"/>
      <c r="C15" s="64"/>
      <c r="D15" s="65"/>
      <c r="E15" s="65"/>
      <c r="F15" s="66"/>
      <c r="G15" s="32"/>
      <c r="H15" s="40"/>
      <c r="I15" s="26"/>
      <c r="J15" s="26"/>
      <c r="K15" s="33"/>
      <c r="L15" s="33"/>
      <c r="M15" s="33"/>
      <c r="N15" s="32"/>
      <c r="O15" s="28"/>
    </row>
    <row r="16" spans="1:15" x14ac:dyDescent="0.3">
      <c r="A16" s="28"/>
      <c r="B16" s="67" t="s">
        <v>102</v>
      </c>
      <c r="C16" s="61"/>
      <c r="D16" s="61"/>
      <c r="E16" s="61"/>
      <c r="F16" s="68"/>
      <c r="G16" s="32"/>
      <c r="H16" s="40" t="s">
        <v>246</v>
      </c>
      <c r="I16" s="26" t="str">
        <f>VLOOKUP(Info!C349,Info!B207:C219,2,FALSE)</f>
        <v>G7</v>
      </c>
      <c r="J16" s="26">
        <f>Info!O218</f>
        <v>9.25</v>
      </c>
      <c r="K16" s="33"/>
      <c r="L16" s="33"/>
      <c r="M16" s="33"/>
      <c r="N16" s="32"/>
      <c r="O16" s="28"/>
    </row>
    <row r="17" spans="1:15" x14ac:dyDescent="0.3">
      <c r="A17" s="28"/>
      <c r="B17" s="69"/>
      <c r="C17" s="70"/>
      <c r="D17" s="70"/>
      <c r="E17" s="70"/>
      <c r="F17" s="71"/>
      <c r="G17" s="32"/>
      <c r="H17" s="40"/>
      <c r="I17" s="26"/>
      <c r="J17" s="26"/>
      <c r="K17" s="33"/>
      <c r="L17" s="33"/>
      <c r="M17" s="33"/>
      <c r="N17" s="32"/>
      <c r="O17" s="28"/>
    </row>
    <row r="18" spans="1:15" x14ac:dyDescent="0.3">
      <c r="A18" s="28"/>
      <c r="B18" s="32"/>
      <c r="C18" s="32"/>
      <c r="D18" s="32"/>
      <c r="E18" s="32"/>
      <c r="F18" s="32"/>
      <c r="G18" s="32"/>
      <c r="H18" s="40" t="s">
        <v>245</v>
      </c>
      <c r="I18" s="26" t="str">
        <f>VLOOKUP(Info!C350,Info!B226:C238,2,FALSE)</f>
        <v>G7</v>
      </c>
      <c r="J18" s="26">
        <f>Info!O231</f>
        <v>2</v>
      </c>
      <c r="K18" s="33"/>
      <c r="L18" s="33"/>
      <c r="M18" s="33"/>
      <c r="N18" s="32"/>
      <c r="O18" s="28"/>
    </row>
    <row r="19" spans="1:15" x14ac:dyDescent="0.3">
      <c r="A19" s="28"/>
      <c r="B19" s="63"/>
      <c r="C19" s="65"/>
      <c r="D19" s="65"/>
      <c r="E19" s="65"/>
      <c r="F19" s="66"/>
      <c r="G19" s="32"/>
      <c r="H19" s="40"/>
      <c r="I19" s="26"/>
      <c r="J19" s="26"/>
      <c r="K19" s="33"/>
      <c r="L19" s="33"/>
      <c r="M19" s="33"/>
      <c r="N19" s="32"/>
      <c r="O19" s="28"/>
    </row>
    <row r="20" spans="1:15" x14ac:dyDescent="0.3">
      <c r="A20" s="28"/>
      <c r="B20" s="67" t="s">
        <v>465</v>
      </c>
      <c r="C20" s="61"/>
      <c r="D20" s="61"/>
      <c r="E20" s="61"/>
      <c r="F20" s="68"/>
      <c r="G20" s="32"/>
      <c r="H20" s="40" t="s">
        <v>244</v>
      </c>
      <c r="I20" s="26" t="str">
        <f>VLOOKUP(Info!C351,Info!B245:C257,2,FALSE)</f>
        <v>G7</v>
      </c>
      <c r="J20" s="26">
        <f>Info!O248</f>
        <v>2</v>
      </c>
      <c r="K20" s="33"/>
      <c r="L20" s="33"/>
      <c r="M20" s="33"/>
      <c r="N20" s="32"/>
      <c r="O20" s="28"/>
    </row>
    <row r="21" spans="1:15" x14ac:dyDescent="0.3">
      <c r="A21" s="28"/>
      <c r="B21" s="72"/>
      <c r="C21" s="61"/>
      <c r="D21" s="61"/>
      <c r="E21" s="61"/>
      <c r="F21" s="68"/>
      <c r="G21" s="32"/>
      <c r="H21" s="40"/>
      <c r="I21" s="26"/>
      <c r="J21" s="26"/>
      <c r="K21" s="33"/>
      <c r="L21" s="33"/>
      <c r="M21" s="33"/>
      <c r="N21" s="32"/>
      <c r="O21" s="28"/>
    </row>
    <row r="22" spans="1:15" x14ac:dyDescent="0.3">
      <c r="A22" s="28"/>
      <c r="B22" s="73" t="s">
        <v>241</v>
      </c>
      <c r="C22" s="62"/>
      <c r="D22" s="61"/>
      <c r="E22" s="61"/>
      <c r="F22" s="68"/>
      <c r="G22" s="32"/>
      <c r="H22" s="40" t="s">
        <v>243</v>
      </c>
      <c r="I22" s="26" t="str">
        <f>VLOOKUP(Info!C352,Info!B264:C276,2,FALSE)</f>
        <v>G7</v>
      </c>
      <c r="J22" s="26">
        <f>Info!O267</f>
        <v>2</v>
      </c>
      <c r="K22" s="33"/>
      <c r="L22" s="27"/>
      <c r="M22" s="36"/>
      <c r="N22" s="32"/>
      <c r="O22" s="28"/>
    </row>
    <row r="23" spans="1:15" x14ac:dyDescent="0.3">
      <c r="A23" s="28"/>
      <c r="B23" s="73"/>
      <c r="C23" s="62"/>
      <c r="D23" s="61"/>
      <c r="E23" s="61"/>
      <c r="F23" s="68"/>
      <c r="G23" s="32"/>
      <c r="H23" s="27"/>
      <c r="I23" s="36"/>
      <c r="J23" s="37"/>
      <c r="K23" s="33"/>
      <c r="L23" s="27"/>
      <c r="M23" s="36"/>
      <c r="N23" s="32"/>
      <c r="O23" s="28"/>
    </row>
    <row r="24" spans="1:15" x14ac:dyDescent="0.3">
      <c r="A24" s="28"/>
      <c r="B24" s="73"/>
      <c r="C24" s="62"/>
      <c r="D24" s="61"/>
      <c r="E24" s="61"/>
      <c r="F24" s="68"/>
      <c r="G24" s="32"/>
      <c r="H24" s="35" t="s">
        <v>425</v>
      </c>
      <c r="I24" s="36"/>
      <c r="J24" s="37"/>
      <c r="K24" s="33"/>
      <c r="L24" s="27"/>
      <c r="M24" s="36"/>
      <c r="N24" s="32"/>
      <c r="O24" s="28"/>
    </row>
    <row r="25" spans="1:15" x14ac:dyDescent="0.3">
      <c r="A25" s="28"/>
      <c r="B25" s="73" t="s">
        <v>242</v>
      </c>
      <c r="C25" s="62"/>
      <c r="D25" s="61"/>
      <c r="E25" s="61"/>
      <c r="F25" s="68"/>
      <c r="G25" s="32"/>
      <c r="H25" s="27"/>
      <c r="I25" s="36"/>
      <c r="J25" s="37"/>
      <c r="K25" s="27"/>
      <c r="L25" s="27"/>
      <c r="M25" s="36"/>
      <c r="N25" s="32"/>
      <c r="O25" s="28"/>
    </row>
    <row r="26" spans="1:15" x14ac:dyDescent="0.3">
      <c r="A26" s="28"/>
      <c r="B26" s="73"/>
      <c r="C26" s="62"/>
      <c r="D26" s="61"/>
      <c r="E26" s="61"/>
      <c r="F26" s="68"/>
      <c r="G26" s="32"/>
      <c r="H26" s="40"/>
      <c r="I26" s="40"/>
      <c r="J26" s="41"/>
      <c r="K26" s="27"/>
      <c r="L26" s="27"/>
      <c r="M26" s="36"/>
      <c r="N26" s="32"/>
      <c r="O26" s="28"/>
    </row>
    <row r="27" spans="1:15" x14ac:dyDescent="0.3">
      <c r="A27" s="28"/>
      <c r="B27" s="73"/>
      <c r="C27" s="62"/>
      <c r="D27" s="61"/>
      <c r="E27" s="61"/>
      <c r="F27" s="68"/>
      <c r="G27" s="32"/>
      <c r="H27" s="40"/>
      <c r="I27" s="40"/>
      <c r="J27" s="41"/>
      <c r="K27" s="27"/>
      <c r="L27" s="33"/>
      <c r="M27" s="33"/>
      <c r="N27" s="32"/>
      <c r="O27" s="28"/>
    </row>
    <row r="28" spans="1:15" x14ac:dyDescent="0.3">
      <c r="A28" s="28"/>
      <c r="B28" s="73" t="s">
        <v>246</v>
      </c>
      <c r="C28" s="62"/>
      <c r="D28" s="61"/>
      <c r="E28" s="61"/>
      <c r="F28" s="68"/>
      <c r="G28" s="32"/>
      <c r="H28" s="42" t="s">
        <v>421</v>
      </c>
      <c r="I28" s="43">
        <f>IF(Info!C357=0,"$0",Info!D1)</f>
        <v>8867</v>
      </c>
      <c r="J28" s="41"/>
      <c r="K28" s="27"/>
      <c r="L28" s="33"/>
      <c r="M28" s="33"/>
      <c r="N28" s="32"/>
      <c r="O28" s="28"/>
    </row>
    <row r="29" spans="1:15" x14ac:dyDescent="0.3">
      <c r="A29" s="28"/>
      <c r="B29" s="73"/>
      <c r="C29" s="62"/>
      <c r="D29" s="61"/>
      <c r="E29" s="61"/>
      <c r="F29" s="68"/>
      <c r="G29" s="32"/>
      <c r="H29" s="42" t="s">
        <v>426</v>
      </c>
      <c r="I29" s="43">
        <f>IF(Info!C357=0,"$0",VLOOKUP(Info!C357,MultiTone[#All],2,FALSE))</f>
        <v>0</v>
      </c>
      <c r="J29" s="44"/>
      <c r="K29" s="27"/>
      <c r="L29" s="33"/>
      <c r="M29" s="33"/>
      <c r="N29" s="32"/>
      <c r="O29" s="28"/>
    </row>
    <row r="30" spans="1:15" x14ac:dyDescent="0.3">
      <c r="A30" s="28"/>
      <c r="B30" s="73"/>
      <c r="C30" s="62"/>
      <c r="D30" s="61"/>
      <c r="E30" s="61"/>
      <c r="F30" s="68"/>
      <c r="G30" s="32"/>
      <c r="J30" s="41"/>
      <c r="K30" s="33"/>
      <c r="L30" s="32"/>
      <c r="M30" s="32"/>
      <c r="N30" s="36"/>
    </row>
    <row r="31" spans="1:15" x14ac:dyDescent="0.3">
      <c r="A31" s="28"/>
      <c r="B31" s="73" t="s">
        <v>245</v>
      </c>
      <c r="C31" s="62"/>
      <c r="D31" s="61"/>
      <c r="E31" s="61"/>
      <c r="F31" s="68"/>
      <c r="G31" s="32"/>
      <c r="H31" s="46" t="s">
        <v>276</v>
      </c>
      <c r="I31" s="47">
        <f>SUM(I28:I29)</f>
        <v>8867</v>
      </c>
      <c r="J31" s="41"/>
      <c r="K31" s="33"/>
      <c r="L31" s="32"/>
      <c r="M31" s="32"/>
      <c r="N31" s="36"/>
    </row>
    <row r="32" spans="1:15" x14ac:dyDescent="0.3">
      <c r="A32" s="28"/>
      <c r="B32" s="73"/>
      <c r="C32" s="62"/>
      <c r="D32" s="61"/>
      <c r="E32" s="61"/>
      <c r="F32" s="68"/>
      <c r="G32" s="32"/>
      <c r="H32" s="27"/>
      <c r="I32" s="36"/>
      <c r="J32" s="37"/>
      <c r="K32" s="33"/>
      <c r="L32" s="32"/>
      <c r="M32" s="32"/>
      <c r="N32" s="36"/>
    </row>
    <row r="33" spans="1:15" x14ac:dyDescent="0.3">
      <c r="A33" s="28"/>
      <c r="B33" s="73"/>
      <c r="C33" s="62"/>
      <c r="D33" s="61"/>
      <c r="E33" s="61"/>
      <c r="F33" s="68"/>
      <c r="G33" s="32"/>
      <c r="H33" s="33"/>
      <c r="I33" s="33"/>
      <c r="J33" s="33"/>
      <c r="K33" s="32"/>
      <c r="L33" s="32"/>
      <c r="M33" s="32"/>
      <c r="N33" s="36"/>
      <c r="O33" s="48"/>
    </row>
    <row r="34" spans="1:15" x14ac:dyDescent="0.3">
      <c r="A34" s="28"/>
      <c r="B34" s="73" t="s">
        <v>244</v>
      </c>
      <c r="C34" s="62"/>
      <c r="D34" s="61"/>
      <c r="E34" s="61"/>
      <c r="F34" s="68"/>
      <c r="G34" s="32"/>
      <c r="H34" s="38" t="s">
        <v>428</v>
      </c>
      <c r="I34" s="32"/>
      <c r="J34" s="34"/>
      <c r="K34" s="32"/>
      <c r="L34" s="49"/>
      <c r="M34" s="49"/>
      <c r="N34" s="49"/>
      <c r="O34" s="49"/>
    </row>
    <row r="35" spans="1:15" x14ac:dyDescent="0.3">
      <c r="A35" s="28"/>
      <c r="B35" s="73"/>
      <c r="C35" s="62"/>
      <c r="D35" s="61"/>
      <c r="E35" s="61"/>
      <c r="F35" s="68"/>
      <c r="G35" s="32"/>
      <c r="H35" s="32" t="s">
        <v>427</v>
      </c>
      <c r="I35" s="32"/>
      <c r="J35" s="34"/>
      <c r="K35" s="49"/>
      <c r="L35" s="49"/>
      <c r="M35" s="49"/>
      <c r="N35" s="49"/>
      <c r="O35" s="49"/>
    </row>
    <row r="36" spans="1:15" s="48" customFormat="1" x14ac:dyDescent="0.3">
      <c r="A36" s="28"/>
      <c r="B36" s="73"/>
      <c r="C36" s="62"/>
      <c r="D36" s="61"/>
      <c r="E36" s="61"/>
      <c r="F36" s="68"/>
      <c r="G36" s="32"/>
      <c r="H36" s="50" t="s">
        <v>952</v>
      </c>
      <c r="I36" s="32"/>
      <c r="J36" s="34"/>
      <c r="K36" s="49"/>
      <c r="L36" s="49"/>
    </row>
    <row r="37" spans="1:15" s="48" customFormat="1" x14ac:dyDescent="0.3">
      <c r="A37" s="28"/>
      <c r="B37" s="73" t="s">
        <v>243</v>
      </c>
      <c r="C37" s="62"/>
      <c r="D37" s="61"/>
      <c r="E37" s="61"/>
      <c r="F37" s="68"/>
      <c r="G37" s="32"/>
      <c r="H37" s="50" t="s">
        <v>953</v>
      </c>
      <c r="I37" s="49"/>
      <c r="J37" s="51"/>
      <c r="K37" s="49"/>
    </row>
    <row r="38" spans="1:15" s="48" customFormat="1" x14ac:dyDescent="0.3">
      <c r="A38" s="28"/>
      <c r="B38" s="69"/>
      <c r="C38" s="70"/>
      <c r="D38" s="70"/>
      <c r="E38" s="70"/>
      <c r="F38" s="71"/>
      <c r="G38" s="32"/>
      <c r="H38" s="50" t="s">
        <v>954</v>
      </c>
      <c r="I38" s="49"/>
      <c r="J38" s="51"/>
      <c r="K38" s="49"/>
    </row>
    <row r="39" spans="1:15" s="48" customFormat="1" x14ac:dyDescent="0.3">
      <c r="A39" s="28"/>
      <c r="B39" s="32"/>
      <c r="C39" s="32"/>
      <c r="D39" s="32"/>
      <c r="E39" s="32"/>
      <c r="F39" s="32"/>
      <c r="G39" s="32"/>
      <c r="J39" s="52"/>
    </row>
    <row r="40" spans="1:15" s="48" customFormat="1" x14ac:dyDescent="0.3">
      <c r="A40" s="28"/>
      <c r="B40" s="28"/>
      <c r="C40" s="28"/>
      <c r="D40" s="28"/>
      <c r="E40" s="28"/>
      <c r="G40" s="49"/>
      <c r="H40" s="38" t="s">
        <v>459</v>
      </c>
      <c r="J40" s="52"/>
    </row>
    <row r="41" spans="1:15" s="48" customFormat="1" x14ac:dyDescent="0.3">
      <c r="A41" s="28"/>
      <c r="B41" s="31"/>
      <c r="C41" s="28"/>
      <c r="D41" s="28"/>
      <c r="E41" s="28"/>
      <c r="F41" s="28"/>
      <c r="G41" s="49"/>
      <c r="H41" s="38"/>
      <c r="J41" s="52"/>
    </row>
    <row r="42" spans="1:15" s="48" customFormat="1" x14ac:dyDescent="0.3">
      <c r="A42" s="49"/>
      <c r="C42" s="49"/>
      <c r="D42" s="49"/>
      <c r="E42" s="49"/>
      <c r="F42" s="49"/>
      <c r="H42" s="36" t="s">
        <v>431</v>
      </c>
      <c r="J42" s="52"/>
    </row>
    <row r="43" spans="1:15" s="48" customFormat="1" x14ac:dyDescent="0.3">
      <c r="H43" s="36" t="s">
        <v>432</v>
      </c>
      <c r="J43" s="52"/>
    </row>
    <row r="44" spans="1:15" s="48" customFormat="1" x14ac:dyDescent="0.3">
      <c r="J44" s="52"/>
    </row>
    <row r="45" spans="1:15" s="48" customFormat="1" x14ac:dyDescent="0.3">
      <c r="J45" s="52"/>
    </row>
    <row r="46" spans="1:15" s="48" customFormat="1" x14ac:dyDescent="0.3">
      <c r="J46" s="52"/>
    </row>
    <row r="47" spans="1:15" s="48" customFormat="1" x14ac:dyDescent="0.3">
      <c r="J47" s="52"/>
    </row>
    <row r="48" spans="1:15" s="48" customFormat="1" x14ac:dyDescent="0.3">
      <c r="H48" s="53"/>
      <c r="J48" s="52"/>
    </row>
    <row r="49" spans="1:15" s="48" customFormat="1" x14ac:dyDescent="0.3">
      <c r="H49" s="53"/>
      <c r="J49" s="52"/>
    </row>
    <row r="50" spans="1:15" s="48" customFormat="1" x14ac:dyDescent="0.3">
      <c r="H50" s="53"/>
      <c r="J50" s="52"/>
    </row>
    <row r="51" spans="1:15" s="48" customFormat="1" x14ac:dyDescent="0.3">
      <c r="H51" s="53"/>
      <c r="J51" s="52"/>
    </row>
    <row r="52" spans="1:15" s="48" customFormat="1" x14ac:dyDescent="0.3">
      <c r="H52" s="53"/>
      <c r="J52" s="52"/>
    </row>
    <row r="53" spans="1:15" s="48" customFormat="1" x14ac:dyDescent="0.3">
      <c r="H53" s="53"/>
      <c r="J53" s="52"/>
    </row>
    <row r="54" spans="1:15" s="48" customFormat="1" x14ac:dyDescent="0.3">
      <c r="H54" s="53"/>
      <c r="J54" s="52"/>
    </row>
    <row r="55" spans="1:15" s="48" customFormat="1" x14ac:dyDescent="0.3">
      <c r="H55" s="53"/>
      <c r="J55" s="52"/>
    </row>
    <row r="56" spans="1:15" s="48" customFormat="1" x14ac:dyDescent="0.3">
      <c r="H56" s="53"/>
      <c r="J56" s="52"/>
    </row>
    <row r="57" spans="1:15" s="48" customFormat="1" x14ac:dyDescent="0.3">
      <c r="H57" s="53"/>
      <c r="J57" s="52"/>
      <c r="L57" s="31"/>
      <c r="M57" s="31"/>
      <c r="N57" s="31"/>
      <c r="O57" s="31"/>
    </row>
    <row r="58" spans="1:15" s="48" customFormat="1" x14ac:dyDescent="0.3">
      <c r="H58" s="53"/>
      <c r="J58" s="52"/>
      <c r="L58" s="31"/>
      <c r="M58" s="31"/>
      <c r="N58" s="31"/>
      <c r="O58" s="31"/>
    </row>
    <row r="59" spans="1:15" s="48" customFormat="1" x14ac:dyDescent="0.3">
      <c r="H59" s="53"/>
      <c r="J59" s="52"/>
      <c r="L59" s="31"/>
      <c r="M59" s="31"/>
      <c r="N59" s="31"/>
      <c r="O59" s="31"/>
    </row>
    <row r="60" spans="1:15" x14ac:dyDescent="0.3">
      <c r="A60" s="48"/>
      <c r="B60" s="48"/>
      <c r="C60" s="48"/>
      <c r="D60" s="48"/>
      <c r="E60" s="48"/>
      <c r="F60" s="48"/>
      <c r="G60" s="48"/>
      <c r="H60" s="53"/>
      <c r="I60" s="48"/>
      <c r="J60" s="52"/>
    </row>
    <row r="61" spans="1:15" x14ac:dyDescent="0.3">
      <c r="A61" s="48"/>
      <c r="B61" s="48"/>
      <c r="C61" s="48"/>
      <c r="D61" s="48"/>
      <c r="E61" s="48"/>
      <c r="F61" s="48"/>
      <c r="G61" s="48"/>
      <c r="H61" s="53"/>
      <c r="I61" s="48"/>
      <c r="J61" s="52"/>
    </row>
    <row r="62" spans="1:15" x14ac:dyDescent="0.3">
      <c r="A62" s="48"/>
      <c r="B62" s="48"/>
      <c r="C62" s="48"/>
      <c r="D62" s="48"/>
      <c r="E62" s="48"/>
      <c r="F62" s="48"/>
      <c r="G62" s="48"/>
    </row>
    <row r="63" spans="1:15" x14ac:dyDescent="0.3">
      <c r="A63" s="48"/>
      <c r="B63" s="48"/>
      <c r="C63" s="48"/>
      <c r="D63" s="48"/>
      <c r="E63" s="48"/>
      <c r="F63" s="48"/>
    </row>
    <row r="64" spans="1:15" x14ac:dyDescent="0.3">
      <c r="A64" s="48"/>
      <c r="B64" s="48"/>
      <c r="C64" s="48"/>
      <c r="D64" s="48"/>
      <c r="E64" s="48"/>
      <c r="F64" s="48"/>
    </row>
    <row r="65" spans="1:6" x14ac:dyDescent="0.3">
      <c r="A65" s="48"/>
      <c r="B65" s="48"/>
      <c r="C65" s="48"/>
      <c r="D65" s="48"/>
      <c r="E65" s="48"/>
      <c r="F65" s="48"/>
    </row>
    <row r="66" spans="1:6" x14ac:dyDescent="0.3">
      <c r="A66" s="48"/>
      <c r="B66" s="48"/>
      <c r="C66" s="48"/>
      <c r="D66" s="48"/>
      <c r="E66" s="48"/>
      <c r="F66" s="48"/>
    </row>
  </sheetData>
  <printOptions horizontalCentered="1"/>
  <pageMargins left="0.5" right="0.5" top="0.5" bottom="0.75" header="0.3" footer="0.3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3</xdr:col>
                    <xdr:colOff>457200</xdr:colOff>
                    <xdr:row>27</xdr:row>
                    <xdr:rowOff>0</xdr:rowOff>
                  </from>
                  <to>
                    <xdr:col>5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457200</xdr:colOff>
                    <xdr:row>24</xdr:row>
                    <xdr:rowOff>0</xdr:rowOff>
                  </from>
                  <to>
                    <xdr:col>5</xdr:col>
                    <xdr:colOff>609600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457200</xdr:colOff>
                    <xdr:row>21</xdr:row>
                    <xdr:rowOff>0</xdr:rowOff>
                  </from>
                  <to>
                    <xdr:col>5</xdr:col>
                    <xdr:colOff>609600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7" name="Drop Down 1">
              <controlPr defaultSize="0" autoLine="0" autoPict="0">
                <anchor moveWithCells="1">
                  <from>
                    <xdr:col>3</xdr:col>
                    <xdr:colOff>457200</xdr:colOff>
                    <xdr:row>15</xdr:row>
                    <xdr:rowOff>0</xdr:rowOff>
                  </from>
                  <to>
                    <xdr:col>5</xdr:col>
                    <xdr:colOff>609600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Drop Down 11">
              <controlPr defaultSize="0" autoLine="0" autoPict="0">
                <anchor moveWithCells="1">
                  <from>
                    <xdr:col>3</xdr:col>
                    <xdr:colOff>457200</xdr:colOff>
                    <xdr:row>30</xdr:row>
                    <xdr:rowOff>0</xdr:rowOff>
                  </from>
                  <to>
                    <xdr:col>5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defaultSize="0" autoLine="0" autoPict="0">
                <anchor moveWithCells="1">
                  <from>
                    <xdr:col>3</xdr:col>
                    <xdr:colOff>457200</xdr:colOff>
                    <xdr:row>33</xdr:row>
                    <xdr:rowOff>0</xdr:rowOff>
                  </from>
                  <to>
                    <xdr:col>5</xdr:col>
                    <xdr:colOff>609600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3</xdr:col>
                    <xdr:colOff>457200</xdr:colOff>
                    <xdr:row>36</xdr:row>
                    <xdr:rowOff>0</xdr:rowOff>
                  </from>
                  <to>
                    <xdr:col>5</xdr:col>
                    <xdr:colOff>609600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Option Button 18">
              <controlPr defaultSize="0" autoFill="0" autoLine="0" autoPict="0">
                <anchor>
                  <from>
                    <xdr:col>6</xdr:col>
                    <xdr:colOff>723900</xdr:colOff>
                    <xdr:row>24</xdr:row>
                    <xdr:rowOff>152400</xdr:rowOff>
                  </from>
                  <to>
                    <xdr:col>7</xdr:col>
                    <xdr:colOff>617220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Option Button 19">
              <controlPr defaultSize="0" autoFill="0" autoLine="0" autoPict="0">
                <anchor moveWithCells="1">
                  <from>
                    <xdr:col>7</xdr:col>
                    <xdr:colOff>609600</xdr:colOff>
                    <xdr:row>24</xdr:row>
                    <xdr:rowOff>152400</xdr:rowOff>
                  </from>
                  <to>
                    <xdr:col>7</xdr:col>
                    <xdr:colOff>1257300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Option Button 20">
              <controlPr defaultSize="0" autoFill="0" autoLine="0" autoPict="0">
                <anchor moveWithCells="1">
                  <from>
                    <xdr:col>7</xdr:col>
                    <xdr:colOff>1203960</xdr:colOff>
                    <xdr:row>24</xdr:row>
                    <xdr:rowOff>152400</xdr:rowOff>
                  </from>
                  <to>
                    <xdr:col>8</xdr:col>
                    <xdr:colOff>289560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Option Button 21">
              <controlPr defaultSize="0" autoFill="0" autoLine="0" autoPict="0">
                <anchor moveWithCells="1">
                  <from>
                    <xdr:col>8</xdr:col>
                    <xdr:colOff>213360</xdr:colOff>
                    <xdr:row>24</xdr:row>
                    <xdr:rowOff>152400</xdr:rowOff>
                  </from>
                  <to>
                    <xdr:col>9</xdr:col>
                    <xdr:colOff>22860</xdr:colOff>
                    <xdr:row>25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59"/>
  <sheetViews>
    <sheetView showGridLines="0" workbookViewId="0">
      <pane ySplit="1" topLeftCell="A164" activePane="bottomLeft" state="frozen"/>
      <selection activeCell="B5" sqref="B5:B211"/>
      <selection pane="bottomLeft" activeCell="K189" sqref="K189"/>
    </sheetView>
  </sheetViews>
  <sheetFormatPr defaultColWidth="9.33203125" defaultRowHeight="14.4" x14ac:dyDescent="0.3"/>
  <cols>
    <col min="1" max="2" width="9.33203125" style="1"/>
    <col min="3" max="3" width="15.33203125" style="1" bestFit="1" customWidth="1"/>
    <col min="4" max="4" width="102.6640625" style="1" bestFit="1" customWidth="1"/>
    <col min="5" max="8" width="9.33203125" style="1"/>
    <col min="9" max="9" width="12.5546875" style="1" bestFit="1" customWidth="1"/>
    <col min="10" max="10" width="9.33203125" style="1"/>
    <col min="11" max="11" width="9.33203125" style="14" customWidth="1"/>
    <col min="12" max="13" width="9.33203125" style="1"/>
    <col min="14" max="14" width="10.33203125" style="14" bestFit="1" customWidth="1"/>
    <col min="15" max="15" width="9.6640625" style="1" bestFit="1" customWidth="1"/>
    <col min="16" max="16" width="9.33203125" style="1"/>
    <col min="17" max="18" width="9.33203125" style="1" customWidth="1"/>
    <col min="19" max="16384" width="9.33203125" style="1"/>
  </cols>
  <sheetData>
    <row r="1" spans="1:14" s="2" customFormat="1" x14ac:dyDescent="0.3">
      <c r="A1" s="2">
        <f>C348</f>
        <v>14</v>
      </c>
      <c r="B1" s="2">
        <f>VLOOKUP(A1,B4:C181,2,FALSE)</f>
        <v>6510</v>
      </c>
      <c r="C1" s="10" t="s">
        <v>234</v>
      </c>
      <c r="D1" s="20">
        <f>ROUNDUP((D184+D203+D222+D241+D260+D279+D301+D320),0)</f>
        <v>8867</v>
      </c>
      <c r="E1" s="10" t="s">
        <v>235</v>
      </c>
      <c r="F1" s="2">
        <f>O218+O231+O248+O267+O298+O315</f>
        <v>15.25</v>
      </c>
      <c r="G1" s="10"/>
      <c r="H1" s="21"/>
      <c r="K1" s="20"/>
      <c r="N1" s="20"/>
    </row>
    <row r="3" spans="1:14" x14ac:dyDescent="0.3">
      <c r="A3" s="75" t="s">
        <v>102</v>
      </c>
    </row>
    <row r="4" spans="1:14" x14ac:dyDescent="0.3">
      <c r="B4" s="6" t="s">
        <v>128</v>
      </c>
      <c r="C4" s="6" t="s">
        <v>103</v>
      </c>
      <c r="D4" s="6" t="s">
        <v>91</v>
      </c>
      <c r="E4" s="6" t="s">
        <v>277</v>
      </c>
    </row>
    <row r="5" spans="1:14" x14ac:dyDescent="0.3">
      <c r="B5" s="1">
        <v>1</v>
      </c>
      <c r="C5" s="1" t="s">
        <v>404</v>
      </c>
      <c r="D5" s="1" t="s">
        <v>126</v>
      </c>
      <c r="E5" s="14" t="s">
        <v>278</v>
      </c>
    </row>
    <row r="6" spans="1:14" x14ac:dyDescent="0.3">
      <c r="A6" s="3"/>
      <c r="B6" s="1">
        <v>2</v>
      </c>
      <c r="C6" s="3">
        <v>6502</v>
      </c>
      <c r="D6" s="3" t="s">
        <v>851</v>
      </c>
      <c r="E6" s="14" t="s">
        <v>279</v>
      </c>
    </row>
    <row r="7" spans="1:14" x14ac:dyDescent="0.3">
      <c r="A7" s="3"/>
      <c r="B7" s="1">
        <v>3</v>
      </c>
      <c r="C7" s="3">
        <v>6503</v>
      </c>
      <c r="D7" s="3" t="s">
        <v>852</v>
      </c>
      <c r="E7" s="14" t="s">
        <v>280</v>
      </c>
    </row>
    <row r="8" spans="1:14" x14ac:dyDescent="0.3">
      <c r="A8" s="3"/>
      <c r="B8" s="1">
        <v>4</v>
      </c>
      <c r="C8" s="3" t="s">
        <v>672</v>
      </c>
      <c r="D8" s="3" t="s">
        <v>853</v>
      </c>
      <c r="E8" s="14" t="s">
        <v>303</v>
      </c>
    </row>
    <row r="9" spans="1:14" x14ac:dyDescent="0.3">
      <c r="B9" s="1">
        <v>5</v>
      </c>
      <c r="C9" s="3">
        <v>6504</v>
      </c>
      <c r="D9" s="3" t="s">
        <v>854</v>
      </c>
      <c r="E9" s="14" t="s">
        <v>281</v>
      </c>
    </row>
    <row r="10" spans="1:14" x14ac:dyDescent="0.3">
      <c r="B10" s="1">
        <v>6</v>
      </c>
      <c r="C10" s="3">
        <v>6505</v>
      </c>
      <c r="D10" s="3" t="s">
        <v>855</v>
      </c>
      <c r="E10" s="14" t="s">
        <v>282</v>
      </c>
    </row>
    <row r="11" spans="1:14" x14ac:dyDescent="0.3">
      <c r="B11" s="1">
        <v>7</v>
      </c>
      <c r="C11" s="3" t="s">
        <v>673</v>
      </c>
      <c r="D11" s="3" t="s">
        <v>856</v>
      </c>
      <c r="E11" s="14" t="s">
        <v>304</v>
      </c>
    </row>
    <row r="12" spans="1:14" x14ac:dyDescent="0.3">
      <c r="B12" s="1">
        <v>8</v>
      </c>
      <c r="C12" s="3">
        <v>6506</v>
      </c>
      <c r="D12" s="3" t="s">
        <v>859</v>
      </c>
      <c r="E12" s="14" t="s">
        <v>650</v>
      </c>
    </row>
    <row r="13" spans="1:14" x14ac:dyDescent="0.3">
      <c r="B13" s="1">
        <v>9</v>
      </c>
      <c r="C13" s="3">
        <v>6507</v>
      </c>
      <c r="D13" s="3" t="s">
        <v>860</v>
      </c>
      <c r="E13" s="14" t="s">
        <v>651</v>
      </c>
    </row>
    <row r="14" spans="1:14" x14ac:dyDescent="0.3">
      <c r="B14" s="1">
        <v>10</v>
      </c>
      <c r="C14" s="3" t="s">
        <v>610</v>
      </c>
      <c r="D14" s="3" t="s">
        <v>857</v>
      </c>
      <c r="E14" s="14" t="s">
        <v>652</v>
      </c>
    </row>
    <row r="15" spans="1:14" x14ac:dyDescent="0.3">
      <c r="B15" s="1">
        <v>11</v>
      </c>
      <c r="C15" s="3">
        <v>6508</v>
      </c>
      <c r="D15" s="3" t="s">
        <v>861</v>
      </c>
      <c r="E15" s="14" t="s">
        <v>653</v>
      </c>
    </row>
    <row r="16" spans="1:14" x14ac:dyDescent="0.3">
      <c r="B16" s="1">
        <v>12</v>
      </c>
      <c r="C16" s="3">
        <v>6509</v>
      </c>
      <c r="D16" s="3" t="s">
        <v>862</v>
      </c>
      <c r="E16" s="14" t="s">
        <v>654</v>
      </c>
    </row>
    <row r="17" spans="1:6" x14ac:dyDescent="0.3">
      <c r="B17" s="1">
        <v>13</v>
      </c>
      <c r="C17" s="3" t="s">
        <v>611</v>
      </c>
      <c r="D17" s="3" t="s">
        <v>858</v>
      </c>
      <c r="E17" s="14" t="s">
        <v>655</v>
      </c>
    </row>
    <row r="18" spans="1:6" x14ac:dyDescent="0.3">
      <c r="B18" s="1">
        <v>14</v>
      </c>
      <c r="C18" s="1">
        <v>6510</v>
      </c>
      <c r="D18" s="1" t="s">
        <v>8</v>
      </c>
      <c r="E18" s="14" t="s">
        <v>283</v>
      </c>
    </row>
    <row r="19" spans="1:6" x14ac:dyDescent="0.3">
      <c r="B19" s="1">
        <v>15</v>
      </c>
      <c r="C19" s="1" t="s">
        <v>448</v>
      </c>
      <c r="D19" s="1" t="s">
        <v>15</v>
      </c>
      <c r="E19" s="14" t="s">
        <v>305</v>
      </c>
    </row>
    <row r="20" spans="1:6" x14ac:dyDescent="0.3">
      <c r="B20" s="1">
        <v>16</v>
      </c>
      <c r="C20" s="1">
        <v>6511</v>
      </c>
      <c r="D20" s="1" t="s">
        <v>9</v>
      </c>
      <c r="E20" s="14" t="s">
        <v>284</v>
      </c>
    </row>
    <row r="21" spans="1:6" x14ac:dyDescent="0.3">
      <c r="B21" s="1">
        <v>17</v>
      </c>
      <c r="C21" s="1" t="s">
        <v>675</v>
      </c>
      <c r="D21" s="1" t="s">
        <v>784</v>
      </c>
      <c r="E21" s="14" t="s">
        <v>308</v>
      </c>
    </row>
    <row r="22" spans="1:6" x14ac:dyDescent="0.3">
      <c r="B22" s="1">
        <v>18</v>
      </c>
      <c r="C22" s="1" t="s">
        <v>449</v>
      </c>
      <c r="D22" s="1" t="s">
        <v>16</v>
      </c>
      <c r="E22" s="14" t="s">
        <v>306</v>
      </c>
    </row>
    <row r="23" spans="1:6" x14ac:dyDescent="0.3">
      <c r="B23" s="1">
        <v>19</v>
      </c>
      <c r="C23" s="1" t="s">
        <v>730</v>
      </c>
      <c r="D23" s="1" t="s">
        <v>785</v>
      </c>
      <c r="E23" s="14" t="s">
        <v>307</v>
      </c>
    </row>
    <row r="24" spans="1:6" x14ac:dyDescent="0.3">
      <c r="A24" s="3"/>
      <c r="B24" s="1">
        <v>20</v>
      </c>
      <c r="C24" s="1">
        <v>6512</v>
      </c>
      <c r="D24" s="1" t="s">
        <v>10</v>
      </c>
      <c r="E24" s="14" t="s">
        <v>285</v>
      </c>
    </row>
    <row r="25" spans="1:6" x14ac:dyDescent="0.3">
      <c r="A25" s="3"/>
      <c r="B25" s="1">
        <v>21</v>
      </c>
      <c r="C25" s="1" t="s">
        <v>677</v>
      </c>
      <c r="D25" s="1" t="s">
        <v>802</v>
      </c>
      <c r="E25" s="14" t="s">
        <v>311</v>
      </c>
    </row>
    <row r="26" spans="1:6" x14ac:dyDescent="0.3">
      <c r="A26" s="3"/>
      <c r="B26" s="1">
        <v>22</v>
      </c>
      <c r="C26" s="1" t="s">
        <v>450</v>
      </c>
      <c r="D26" s="1" t="s">
        <v>863</v>
      </c>
      <c r="E26" s="14" t="s">
        <v>309</v>
      </c>
    </row>
    <row r="27" spans="1:6" x14ac:dyDescent="0.3">
      <c r="A27" s="3"/>
      <c r="B27" s="1">
        <v>23</v>
      </c>
      <c r="C27" s="1" t="s">
        <v>731</v>
      </c>
      <c r="D27" s="1" t="s">
        <v>864</v>
      </c>
      <c r="E27" s="14" t="s">
        <v>310</v>
      </c>
    </row>
    <row r="28" spans="1:6" x14ac:dyDescent="0.3">
      <c r="A28" s="3"/>
      <c r="B28" s="1">
        <v>24</v>
      </c>
      <c r="C28" s="1">
        <v>6513</v>
      </c>
      <c r="D28" s="1" t="s">
        <v>803</v>
      </c>
      <c r="E28" s="14" t="s">
        <v>286</v>
      </c>
    </row>
    <row r="29" spans="1:6" x14ac:dyDescent="0.3">
      <c r="A29" s="3"/>
      <c r="B29" s="1">
        <v>25</v>
      </c>
      <c r="C29" s="1" t="s">
        <v>679</v>
      </c>
      <c r="D29" s="1" t="s">
        <v>804</v>
      </c>
      <c r="E29" s="14" t="s">
        <v>331</v>
      </c>
    </row>
    <row r="30" spans="1:6" x14ac:dyDescent="0.3">
      <c r="B30" s="1">
        <v>26</v>
      </c>
      <c r="C30" s="1" t="s">
        <v>451</v>
      </c>
      <c r="D30" s="1" t="s">
        <v>865</v>
      </c>
      <c r="E30" s="14" t="s">
        <v>312</v>
      </c>
    </row>
    <row r="31" spans="1:6" x14ac:dyDescent="0.3">
      <c r="B31" s="1">
        <v>27</v>
      </c>
      <c r="C31" s="1" t="s">
        <v>732</v>
      </c>
      <c r="D31" s="1" t="s">
        <v>866</v>
      </c>
      <c r="E31" s="14" t="s">
        <v>313</v>
      </c>
    </row>
    <row r="32" spans="1:6" x14ac:dyDescent="0.3">
      <c r="B32" s="1">
        <v>28</v>
      </c>
      <c r="C32" s="7" t="s">
        <v>587</v>
      </c>
      <c r="D32" s="7" t="s">
        <v>805</v>
      </c>
      <c r="E32" s="7" t="s">
        <v>559</v>
      </c>
      <c r="F32" s="7"/>
    </row>
    <row r="33" spans="2:6" x14ac:dyDescent="0.3">
      <c r="B33" s="1">
        <v>29</v>
      </c>
      <c r="C33" s="7" t="s">
        <v>556</v>
      </c>
      <c r="D33" s="7" t="s">
        <v>806</v>
      </c>
      <c r="E33" s="92" t="s">
        <v>561</v>
      </c>
      <c r="F33" s="7"/>
    </row>
    <row r="34" spans="2:6" x14ac:dyDescent="0.3">
      <c r="B34" s="1">
        <v>30</v>
      </c>
      <c r="C34" s="7" t="s">
        <v>588</v>
      </c>
      <c r="D34" s="7" t="s">
        <v>807</v>
      </c>
      <c r="E34" s="92" t="s">
        <v>567</v>
      </c>
      <c r="F34" s="7"/>
    </row>
    <row r="35" spans="2:6" x14ac:dyDescent="0.3">
      <c r="B35" s="1">
        <v>31</v>
      </c>
      <c r="C35" s="7" t="s">
        <v>557</v>
      </c>
      <c r="D35" s="7" t="s">
        <v>808</v>
      </c>
      <c r="E35" s="92" t="s">
        <v>560</v>
      </c>
      <c r="F35" s="7"/>
    </row>
    <row r="36" spans="2:6" x14ac:dyDescent="0.3">
      <c r="B36" s="1">
        <v>32</v>
      </c>
      <c r="C36" s="7" t="s">
        <v>568</v>
      </c>
      <c r="D36" s="7" t="s">
        <v>809</v>
      </c>
      <c r="E36" s="92" t="s">
        <v>566</v>
      </c>
      <c r="F36" s="7"/>
    </row>
    <row r="37" spans="2:6" x14ac:dyDescent="0.3">
      <c r="B37" s="1">
        <v>33</v>
      </c>
      <c r="C37" s="7" t="s">
        <v>558</v>
      </c>
      <c r="D37" s="7" t="s">
        <v>810</v>
      </c>
      <c r="E37" s="92" t="s">
        <v>563</v>
      </c>
      <c r="F37" s="7"/>
    </row>
    <row r="38" spans="2:6" x14ac:dyDescent="0.3">
      <c r="B38" s="1">
        <v>34</v>
      </c>
      <c r="C38" s="7" t="s">
        <v>590</v>
      </c>
      <c r="D38" s="7" t="s">
        <v>811</v>
      </c>
      <c r="E38" s="92" t="s">
        <v>565</v>
      </c>
      <c r="F38" s="7"/>
    </row>
    <row r="39" spans="2:6" x14ac:dyDescent="0.3">
      <c r="B39" s="1">
        <v>35</v>
      </c>
      <c r="C39" s="7" t="s">
        <v>591</v>
      </c>
      <c r="D39" s="7" t="s">
        <v>812</v>
      </c>
      <c r="E39" s="92" t="s">
        <v>564</v>
      </c>
      <c r="F39" s="7"/>
    </row>
    <row r="40" spans="2:6" x14ac:dyDescent="0.3">
      <c r="B40" s="1">
        <v>36</v>
      </c>
      <c r="C40" s="7" t="s">
        <v>592</v>
      </c>
      <c r="D40" s="7" t="s">
        <v>813</v>
      </c>
      <c r="E40" s="92" t="s">
        <v>562</v>
      </c>
      <c r="F40" s="7"/>
    </row>
    <row r="41" spans="2:6" x14ac:dyDescent="0.3">
      <c r="B41" s="1">
        <v>37</v>
      </c>
      <c r="C41" s="7" t="s">
        <v>593</v>
      </c>
      <c r="D41" s="7" t="s">
        <v>814</v>
      </c>
      <c r="E41" s="92" t="s">
        <v>604</v>
      </c>
      <c r="F41" s="7"/>
    </row>
    <row r="42" spans="2:6" x14ac:dyDescent="0.3">
      <c r="B42" s="1">
        <v>38</v>
      </c>
      <c r="C42" s="1">
        <v>6520</v>
      </c>
      <c r="D42" s="1" t="s">
        <v>815</v>
      </c>
      <c r="E42" s="14" t="s">
        <v>287</v>
      </c>
    </row>
    <row r="43" spans="2:6" x14ac:dyDescent="0.3">
      <c r="B43" s="1">
        <v>39</v>
      </c>
      <c r="C43" s="1" t="s">
        <v>452</v>
      </c>
      <c r="D43" s="1" t="s">
        <v>816</v>
      </c>
      <c r="E43" s="14" t="s">
        <v>332</v>
      </c>
    </row>
    <row r="44" spans="2:6" x14ac:dyDescent="0.3">
      <c r="B44" s="1">
        <v>40</v>
      </c>
      <c r="C44" s="1">
        <v>6521</v>
      </c>
      <c r="D44" s="1" t="s">
        <v>817</v>
      </c>
      <c r="E44" s="14" t="s">
        <v>288</v>
      </c>
    </row>
    <row r="45" spans="2:6" x14ac:dyDescent="0.3">
      <c r="B45" s="1">
        <v>41</v>
      </c>
      <c r="C45" s="1" t="s">
        <v>681</v>
      </c>
      <c r="D45" s="1" t="s">
        <v>818</v>
      </c>
      <c r="E45" s="14" t="s">
        <v>335</v>
      </c>
    </row>
    <row r="46" spans="2:6" x14ac:dyDescent="0.3">
      <c r="B46" s="1">
        <v>42</v>
      </c>
      <c r="C46" s="1" t="s">
        <v>453</v>
      </c>
      <c r="D46" s="1" t="s">
        <v>819</v>
      </c>
      <c r="E46" s="14" t="s">
        <v>333</v>
      </c>
    </row>
    <row r="47" spans="2:6" x14ac:dyDescent="0.3">
      <c r="B47" s="1">
        <v>43</v>
      </c>
      <c r="C47" s="1" t="s">
        <v>733</v>
      </c>
      <c r="D47" s="1" t="s">
        <v>820</v>
      </c>
      <c r="E47" s="14" t="s">
        <v>334</v>
      </c>
    </row>
    <row r="48" spans="2:6" x14ac:dyDescent="0.3">
      <c r="B48" s="1">
        <v>44</v>
      </c>
      <c r="C48" s="1">
        <v>6522</v>
      </c>
      <c r="D48" s="1" t="s">
        <v>821</v>
      </c>
      <c r="E48" s="14" t="s">
        <v>289</v>
      </c>
    </row>
    <row r="49" spans="2:11" x14ac:dyDescent="0.3">
      <c r="B49" s="1">
        <v>45</v>
      </c>
      <c r="C49" s="1" t="s">
        <v>683</v>
      </c>
      <c r="D49" s="1" t="s">
        <v>822</v>
      </c>
      <c r="E49" s="14" t="s">
        <v>318</v>
      </c>
    </row>
    <row r="50" spans="2:11" x14ac:dyDescent="0.3">
      <c r="B50" s="1">
        <v>46</v>
      </c>
      <c r="C50" s="1" t="s">
        <v>454</v>
      </c>
      <c r="D50" s="1" t="s">
        <v>867</v>
      </c>
      <c r="E50" s="14" t="s">
        <v>316</v>
      </c>
    </row>
    <row r="51" spans="2:11" x14ac:dyDescent="0.3">
      <c r="B51" s="1">
        <v>47</v>
      </c>
      <c r="C51" s="1" t="s">
        <v>734</v>
      </c>
      <c r="D51" s="1" t="s">
        <v>868</v>
      </c>
      <c r="E51" s="14" t="s">
        <v>317</v>
      </c>
    </row>
    <row r="52" spans="2:11" x14ac:dyDescent="0.3">
      <c r="B52" s="1">
        <v>48</v>
      </c>
      <c r="C52" s="1">
        <v>6523</v>
      </c>
      <c r="D52" s="1" t="s">
        <v>823</v>
      </c>
      <c r="E52" s="14" t="s">
        <v>290</v>
      </c>
    </row>
    <row r="53" spans="2:11" x14ac:dyDescent="0.3">
      <c r="B53" s="1">
        <v>49</v>
      </c>
      <c r="C53" s="1" t="s">
        <v>685</v>
      </c>
      <c r="D53" s="1" t="s">
        <v>824</v>
      </c>
      <c r="E53" s="14" t="s">
        <v>320</v>
      </c>
    </row>
    <row r="54" spans="2:11" x14ac:dyDescent="0.3">
      <c r="B54" s="1">
        <v>50</v>
      </c>
      <c r="C54" s="1" t="s">
        <v>455</v>
      </c>
      <c r="D54" s="1" t="s">
        <v>869</v>
      </c>
      <c r="E54" s="14" t="s">
        <v>319</v>
      </c>
    </row>
    <row r="55" spans="2:11" x14ac:dyDescent="0.3">
      <c r="B55" s="1">
        <v>51</v>
      </c>
      <c r="C55" s="1" t="s">
        <v>735</v>
      </c>
      <c r="D55" s="1" t="s">
        <v>870</v>
      </c>
      <c r="E55" s="14" t="s">
        <v>314</v>
      </c>
    </row>
    <row r="56" spans="2:11" x14ac:dyDescent="0.3">
      <c r="B56" s="1">
        <v>52</v>
      </c>
      <c r="C56" s="1">
        <v>6532</v>
      </c>
      <c r="D56" s="1" t="s">
        <v>825</v>
      </c>
      <c r="E56" s="14" t="s">
        <v>291</v>
      </c>
    </row>
    <row r="57" spans="2:11" x14ac:dyDescent="0.3">
      <c r="B57" s="1">
        <v>53</v>
      </c>
      <c r="C57" s="1" t="s">
        <v>686</v>
      </c>
      <c r="D57" s="1" t="s">
        <v>826</v>
      </c>
      <c r="E57" s="14" t="s">
        <v>321</v>
      </c>
    </row>
    <row r="58" spans="2:11" x14ac:dyDescent="0.3">
      <c r="B58" s="1">
        <v>54</v>
      </c>
      <c r="C58" s="1">
        <v>6533</v>
      </c>
      <c r="D58" s="1" t="s">
        <v>827</v>
      </c>
      <c r="E58" s="14" t="s">
        <v>292</v>
      </c>
      <c r="K58" s="1"/>
    </row>
    <row r="59" spans="2:11" x14ac:dyDescent="0.3">
      <c r="B59" s="1">
        <v>55</v>
      </c>
      <c r="C59" s="1" t="s">
        <v>687</v>
      </c>
      <c r="D59" s="1" t="s">
        <v>828</v>
      </c>
      <c r="E59" s="14" t="s">
        <v>322</v>
      </c>
      <c r="K59" s="1"/>
    </row>
    <row r="60" spans="2:11" x14ac:dyDescent="0.3">
      <c r="B60" s="1">
        <v>56</v>
      </c>
      <c r="C60" s="1">
        <v>6534</v>
      </c>
      <c r="D60" s="1" t="s">
        <v>829</v>
      </c>
      <c r="E60" s="14" t="s">
        <v>293</v>
      </c>
    </row>
    <row r="61" spans="2:11" x14ac:dyDescent="0.3">
      <c r="B61" s="1">
        <v>57</v>
      </c>
      <c r="C61" s="1" t="s">
        <v>688</v>
      </c>
      <c r="D61" s="1" t="s">
        <v>830</v>
      </c>
      <c r="E61" s="14" t="s">
        <v>323</v>
      </c>
    </row>
    <row r="62" spans="2:11" x14ac:dyDescent="0.3">
      <c r="B62" s="1">
        <v>58</v>
      </c>
      <c r="C62" s="1">
        <v>6535</v>
      </c>
      <c r="D62" s="1" t="s">
        <v>831</v>
      </c>
      <c r="E62" s="14" t="s">
        <v>294</v>
      </c>
    </row>
    <row r="63" spans="2:11" x14ac:dyDescent="0.3">
      <c r="B63" s="1">
        <v>59</v>
      </c>
      <c r="C63" s="1" t="s">
        <v>689</v>
      </c>
      <c r="D63" s="1" t="s">
        <v>832</v>
      </c>
      <c r="E63" s="14" t="s">
        <v>324</v>
      </c>
    </row>
    <row r="64" spans="2:11" x14ac:dyDescent="0.3">
      <c r="B64" s="1">
        <v>60</v>
      </c>
      <c r="C64" s="76" t="s">
        <v>502</v>
      </c>
      <c r="D64" s="76" t="s">
        <v>871</v>
      </c>
      <c r="E64" s="77" t="s">
        <v>325</v>
      </c>
    </row>
    <row r="65" spans="2:11" x14ac:dyDescent="0.3">
      <c r="B65" s="1">
        <v>61</v>
      </c>
      <c r="C65" s="76" t="s">
        <v>768</v>
      </c>
      <c r="D65" s="76" t="s">
        <v>872</v>
      </c>
      <c r="E65" s="77" t="s">
        <v>326</v>
      </c>
    </row>
    <row r="66" spans="2:11" x14ac:dyDescent="0.3">
      <c r="B66" s="1">
        <v>62</v>
      </c>
      <c r="C66" s="1" t="s">
        <v>469</v>
      </c>
      <c r="D66" s="1" t="s">
        <v>873</v>
      </c>
      <c r="E66" s="14" t="s">
        <v>325</v>
      </c>
    </row>
    <row r="67" spans="2:11" x14ac:dyDescent="0.3">
      <c r="B67" s="1">
        <v>63</v>
      </c>
      <c r="C67" s="1" t="s">
        <v>736</v>
      </c>
      <c r="D67" s="1" t="s">
        <v>874</v>
      </c>
      <c r="E67" s="14" t="s">
        <v>326</v>
      </c>
    </row>
    <row r="68" spans="2:11" x14ac:dyDescent="0.3">
      <c r="B68" s="1">
        <v>64</v>
      </c>
      <c r="C68" s="1" t="s">
        <v>473</v>
      </c>
      <c r="D68" s="1" t="s">
        <v>875</v>
      </c>
      <c r="E68" s="14" t="s">
        <v>327</v>
      </c>
    </row>
    <row r="69" spans="2:11" x14ac:dyDescent="0.3">
      <c r="B69" s="1">
        <v>65</v>
      </c>
      <c r="C69" s="1" t="s">
        <v>737</v>
      </c>
      <c r="D69" s="1" t="s">
        <v>876</v>
      </c>
      <c r="E69" s="14" t="s">
        <v>328</v>
      </c>
    </row>
    <row r="70" spans="2:11" x14ac:dyDescent="0.3">
      <c r="B70" s="1">
        <v>66</v>
      </c>
      <c r="C70" s="76" t="s">
        <v>508</v>
      </c>
      <c r="D70" s="76" t="s">
        <v>877</v>
      </c>
      <c r="E70" s="77" t="s">
        <v>329</v>
      </c>
    </row>
    <row r="71" spans="2:11" x14ac:dyDescent="0.3">
      <c r="B71" s="1">
        <v>67</v>
      </c>
      <c r="C71" s="76" t="s">
        <v>769</v>
      </c>
      <c r="D71" s="76" t="s">
        <v>878</v>
      </c>
      <c r="E71" s="77" t="s">
        <v>330</v>
      </c>
    </row>
    <row r="72" spans="2:11" x14ac:dyDescent="0.3">
      <c r="B72" s="1">
        <v>68</v>
      </c>
      <c r="C72" s="1" t="s">
        <v>477</v>
      </c>
      <c r="D72" s="1" t="s">
        <v>879</v>
      </c>
      <c r="E72" s="14" t="s">
        <v>329</v>
      </c>
    </row>
    <row r="73" spans="2:11" x14ac:dyDescent="0.3">
      <c r="B73" s="1">
        <v>69</v>
      </c>
      <c r="C73" s="1" t="s">
        <v>740</v>
      </c>
      <c r="D73" s="1" t="s">
        <v>880</v>
      </c>
      <c r="E73" s="14" t="s">
        <v>330</v>
      </c>
    </row>
    <row r="74" spans="2:11" x14ac:dyDescent="0.3">
      <c r="B74" s="1">
        <v>70</v>
      </c>
      <c r="C74" s="1" t="s">
        <v>485</v>
      </c>
      <c r="D74" s="1" t="s">
        <v>881</v>
      </c>
      <c r="E74" s="14" t="s">
        <v>315</v>
      </c>
    </row>
    <row r="75" spans="2:11" x14ac:dyDescent="0.3">
      <c r="B75" s="1">
        <v>71</v>
      </c>
      <c r="C75" s="1" t="s">
        <v>741</v>
      </c>
      <c r="D75" s="1" t="s">
        <v>882</v>
      </c>
      <c r="E75" s="14" t="s">
        <v>336</v>
      </c>
    </row>
    <row r="76" spans="2:11" x14ac:dyDescent="0.3">
      <c r="B76" s="1">
        <v>72</v>
      </c>
      <c r="C76" s="76" t="s">
        <v>504</v>
      </c>
      <c r="D76" s="76" t="s">
        <v>883</v>
      </c>
      <c r="E76" s="77" t="s">
        <v>337</v>
      </c>
      <c r="K76" s="3"/>
    </row>
    <row r="77" spans="2:11" x14ac:dyDescent="0.3">
      <c r="B77" s="1">
        <v>73</v>
      </c>
      <c r="C77" s="76" t="s">
        <v>770</v>
      </c>
      <c r="D77" s="76" t="s">
        <v>884</v>
      </c>
      <c r="E77" s="77" t="s">
        <v>338</v>
      </c>
      <c r="K77" s="3"/>
    </row>
    <row r="78" spans="2:11" x14ac:dyDescent="0.3">
      <c r="B78" s="1">
        <v>74</v>
      </c>
      <c r="C78" s="1" t="s">
        <v>470</v>
      </c>
      <c r="D78" s="1" t="s">
        <v>885</v>
      </c>
      <c r="E78" s="14" t="s">
        <v>337</v>
      </c>
      <c r="K78" s="3"/>
    </row>
    <row r="79" spans="2:11" x14ac:dyDescent="0.3">
      <c r="B79" s="1">
        <v>75</v>
      </c>
      <c r="C79" s="1" t="s">
        <v>738</v>
      </c>
      <c r="D79" s="1" t="s">
        <v>886</v>
      </c>
      <c r="E79" s="14" t="s">
        <v>338</v>
      </c>
      <c r="K79" s="3"/>
    </row>
    <row r="80" spans="2:11" x14ac:dyDescent="0.3">
      <c r="B80" s="1">
        <v>76</v>
      </c>
      <c r="C80" s="1" t="s">
        <v>474</v>
      </c>
      <c r="D80" s="1" t="s">
        <v>887</v>
      </c>
      <c r="E80" s="14" t="s">
        <v>339</v>
      </c>
      <c r="K80" s="3"/>
    </row>
    <row r="81" spans="2:11" x14ac:dyDescent="0.3">
      <c r="B81" s="1">
        <v>77</v>
      </c>
      <c r="C81" s="1" t="s">
        <v>739</v>
      </c>
      <c r="D81" s="1" t="s">
        <v>888</v>
      </c>
      <c r="E81" s="14" t="s">
        <v>340</v>
      </c>
      <c r="K81" s="3"/>
    </row>
    <row r="82" spans="2:11" x14ac:dyDescent="0.3">
      <c r="B82" s="1">
        <v>78</v>
      </c>
      <c r="C82" s="76" t="s">
        <v>509</v>
      </c>
      <c r="D82" s="76" t="s">
        <v>889</v>
      </c>
      <c r="E82" s="77" t="s">
        <v>341</v>
      </c>
      <c r="K82" s="18"/>
    </row>
    <row r="83" spans="2:11" x14ac:dyDescent="0.3">
      <c r="B83" s="1">
        <v>79</v>
      </c>
      <c r="C83" s="76" t="s">
        <v>771</v>
      </c>
      <c r="D83" s="76" t="s">
        <v>890</v>
      </c>
      <c r="E83" s="77" t="s">
        <v>342</v>
      </c>
      <c r="K83" s="18"/>
    </row>
    <row r="84" spans="2:11" x14ac:dyDescent="0.3">
      <c r="B84" s="1">
        <v>80</v>
      </c>
      <c r="C84" s="1" t="s">
        <v>478</v>
      </c>
      <c r="D84" s="1" t="s">
        <v>891</v>
      </c>
      <c r="E84" s="14" t="s">
        <v>341</v>
      </c>
      <c r="K84" s="18"/>
    </row>
    <row r="85" spans="2:11" x14ac:dyDescent="0.3">
      <c r="B85" s="1">
        <v>81</v>
      </c>
      <c r="C85" s="1" t="s">
        <v>742</v>
      </c>
      <c r="D85" s="1" t="s">
        <v>892</v>
      </c>
      <c r="E85" s="14" t="s">
        <v>342</v>
      </c>
      <c r="K85" s="18"/>
    </row>
    <row r="86" spans="2:11" x14ac:dyDescent="0.3">
      <c r="B86" s="1">
        <v>82</v>
      </c>
      <c r="C86" s="1" t="s">
        <v>486</v>
      </c>
      <c r="D86" s="1" t="s">
        <v>893</v>
      </c>
      <c r="E86" s="14" t="s">
        <v>343</v>
      </c>
      <c r="K86" s="18"/>
    </row>
    <row r="87" spans="2:11" x14ac:dyDescent="0.3">
      <c r="B87" s="1">
        <v>83</v>
      </c>
      <c r="C87" s="1" t="s">
        <v>743</v>
      </c>
      <c r="D87" s="1" t="s">
        <v>894</v>
      </c>
      <c r="E87" s="14" t="s">
        <v>344</v>
      </c>
      <c r="K87" s="18"/>
    </row>
    <row r="88" spans="2:11" x14ac:dyDescent="0.3">
      <c r="B88" s="1">
        <v>84</v>
      </c>
      <c r="C88" s="76" t="s">
        <v>505</v>
      </c>
      <c r="D88" s="76" t="s">
        <v>895</v>
      </c>
      <c r="E88" s="77" t="s">
        <v>345</v>
      </c>
      <c r="K88" s="18"/>
    </row>
    <row r="89" spans="2:11" x14ac:dyDescent="0.3">
      <c r="B89" s="1">
        <v>85</v>
      </c>
      <c r="C89" s="76" t="s">
        <v>772</v>
      </c>
      <c r="D89" s="76" t="s">
        <v>896</v>
      </c>
      <c r="E89" s="77" t="s">
        <v>346</v>
      </c>
      <c r="K89" s="18"/>
    </row>
    <row r="90" spans="2:11" x14ac:dyDescent="0.3">
      <c r="B90" s="1">
        <v>86</v>
      </c>
      <c r="C90" s="1" t="s">
        <v>479</v>
      </c>
      <c r="D90" s="1" t="s">
        <v>897</v>
      </c>
      <c r="E90" s="14" t="s">
        <v>345</v>
      </c>
      <c r="K90" s="18"/>
    </row>
    <row r="91" spans="2:11" x14ac:dyDescent="0.3">
      <c r="B91" s="1">
        <v>87</v>
      </c>
      <c r="C91" s="1" t="s">
        <v>744</v>
      </c>
      <c r="D91" s="1" t="s">
        <v>898</v>
      </c>
      <c r="E91" s="14" t="s">
        <v>346</v>
      </c>
      <c r="K91" s="18"/>
    </row>
    <row r="92" spans="2:11" x14ac:dyDescent="0.3">
      <c r="B92" s="1">
        <v>88</v>
      </c>
      <c r="C92" s="1" t="s">
        <v>487</v>
      </c>
      <c r="D92" s="1" t="s">
        <v>899</v>
      </c>
      <c r="E92" s="14" t="s">
        <v>347</v>
      </c>
      <c r="K92" s="3"/>
    </row>
    <row r="93" spans="2:11" x14ac:dyDescent="0.3">
      <c r="B93" s="1">
        <v>89</v>
      </c>
      <c r="C93" s="1" t="s">
        <v>745</v>
      </c>
      <c r="D93" s="1" t="s">
        <v>900</v>
      </c>
      <c r="E93" s="14" t="s">
        <v>348</v>
      </c>
      <c r="K93" s="3"/>
    </row>
    <row r="94" spans="2:11" x14ac:dyDescent="0.3">
      <c r="B94" s="1">
        <v>90</v>
      </c>
      <c r="C94" s="76" t="s">
        <v>507</v>
      </c>
      <c r="D94" s="76" t="s">
        <v>901</v>
      </c>
      <c r="E94" s="77" t="s">
        <v>349</v>
      </c>
      <c r="K94" s="3"/>
    </row>
    <row r="95" spans="2:11" x14ac:dyDescent="0.3">
      <c r="B95" s="1">
        <v>91</v>
      </c>
      <c r="C95" s="76" t="s">
        <v>773</v>
      </c>
      <c r="D95" s="76" t="s">
        <v>902</v>
      </c>
      <c r="E95" s="77" t="s">
        <v>350</v>
      </c>
      <c r="K95" s="3"/>
    </row>
    <row r="96" spans="2:11" x14ac:dyDescent="0.3">
      <c r="B96" s="1">
        <v>92</v>
      </c>
      <c r="C96" s="1" t="s">
        <v>493</v>
      </c>
      <c r="D96" s="1" t="s">
        <v>903</v>
      </c>
      <c r="E96" s="14" t="s">
        <v>349</v>
      </c>
      <c r="K96" s="3"/>
    </row>
    <row r="97" spans="2:11" x14ac:dyDescent="0.3">
      <c r="B97" s="1">
        <v>93</v>
      </c>
      <c r="C97" s="1" t="s">
        <v>746</v>
      </c>
      <c r="D97" s="1" t="s">
        <v>904</v>
      </c>
      <c r="E97" s="14" t="s">
        <v>350</v>
      </c>
      <c r="K97" s="3"/>
    </row>
    <row r="98" spans="2:11" x14ac:dyDescent="0.3">
      <c r="B98" s="1">
        <v>94</v>
      </c>
      <c r="C98" s="1" t="s">
        <v>497</v>
      </c>
      <c r="D98" s="1" t="s">
        <v>905</v>
      </c>
      <c r="E98" s="14" t="s">
        <v>351</v>
      </c>
      <c r="K98" s="3"/>
    </row>
    <row r="99" spans="2:11" x14ac:dyDescent="0.3">
      <c r="B99" s="1">
        <v>95</v>
      </c>
      <c r="C99" s="1" t="s">
        <v>747</v>
      </c>
      <c r="D99" s="1" t="s">
        <v>906</v>
      </c>
      <c r="E99" s="14" t="s">
        <v>352</v>
      </c>
      <c r="K99" s="3"/>
    </row>
    <row r="100" spans="2:11" x14ac:dyDescent="0.3">
      <c r="B100" s="1">
        <v>96</v>
      </c>
      <c r="C100" s="76" t="s">
        <v>506</v>
      </c>
      <c r="D100" s="76" t="s">
        <v>907</v>
      </c>
      <c r="E100" s="77" t="s">
        <v>353</v>
      </c>
      <c r="K100" s="3"/>
    </row>
    <row r="101" spans="2:11" x14ac:dyDescent="0.3">
      <c r="B101" s="1">
        <v>97</v>
      </c>
      <c r="C101" s="76" t="s">
        <v>774</v>
      </c>
      <c r="D101" s="76" t="s">
        <v>908</v>
      </c>
      <c r="E101" s="77" t="s">
        <v>354</v>
      </c>
      <c r="K101" s="3"/>
    </row>
    <row r="102" spans="2:11" x14ac:dyDescent="0.3">
      <c r="B102" s="1">
        <v>98</v>
      </c>
      <c r="C102" s="1" t="s">
        <v>480</v>
      </c>
      <c r="D102" s="1" t="s">
        <v>909</v>
      </c>
      <c r="E102" s="14" t="s">
        <v>353</v>
      </c>
      <c r="K102" s="3"/>
    </row>
    <row r="103" spans="2:11" x14ac:dyDescent="0.3">
      <c r="B103" s="1">
        <v>99</v>
      </c>
      <c r="C103" s="1" t="s">
        <v>748</v>
      </c>
      <c r="D103" s="1" t="s">
        <v>910</v>
      </c>
      <c r="E103" s="14" t="s">
        <v>354</v>
      </c>
      <c r="K103" s="3"/>
    </row>
    <row r="104" spans="2:11" x14ac:dyDescent="0.3">
      <c r="B104" s="1">
        <v>100</v>
      </c>
      <c r="C104" s="1" t="s">
        <v>488</v>
      </c>
      <c r="D104" s="1" t="s">
        <v>911</v>
      </c>
      <c r="E104" s="14" t="s">
        <v>355</v>
      </c>
      <c r="K104" s="3"/>
    </row>
    <row r="105" spans="2:11" x14ac:dyDescent="0.3">
      <c r="B105" s="1">
        <v>101</v>
      </c>
      <c r="C105" s="1" t="s">
        <v>749</v>
      </c>
      <c r="D105" s="1" t="s">
        <v>912</v>
      </c>
      <c r="E105" s="14" t="s">
        <v>356</v>
      </c>
      <c r="K105" s="3"/>
    </row>
    <row r="106" spans="2:11" x14ac:dyDescent="0.3">
      <c r="B106" s="1">
        <v>102</v>
      </c>
      <c r="C106" s="76" t="s">
        <v>510</v>
      </c>
      <c r="D106" s="76" t="s">
        <v>913</v>
      </c>
      <c r="E106" s="77" t="s">
        <v>357</v>
      </c>
      <c r="K106" s="3"/>
    </row>
    <row r="107" spans="2:11" x14ac:dyDescent="0.3">
      <c r="B107" s="1">
        <v>103</v>
      </c>
      <c r="C107" s="76" t="s">
        <v>775</v>
      </c>
      <c r="D107" s="76" t="s">
        <v>914</v>
      </c>
      <c r="E107" s="77" t="s">
        <v>358</v>
      </c>
      <c r="K107" s="3"/>
    </row>
    <row r="108" spans="2:11" x14ac:dyDescent="0.3">
      <c r="B108" s="1">
        <v>104</v>
      </c>
      <c r="C108" s="1" t="s">
        <v>494</v>
      </c>
      <c r="D108" s="1" t="s">
        <v>915</v>
      </c>
      <c r="E108" s="14" t="s">
        <v>357</v>
      </c>
    </row>
    <row r="109" spans="2:11" x14ac:dyDescent="0.3">
      <c r="B109" s="1">
        <v>105</v>
      </c>
      <c r="C109" s="1" t="s">
        <v>750</v>
      </c>
      <c r="D109" s="1" t="s">
        <v>916</v>
      </c>
      <c r="E109" s="14" t="s">
        <v>358</v>
      </c>
    </row>
    <row r="110" spans="2:11" x14ac:dyDescent="0.3">
      <c r="B110" s="1">
        <v>106</v>
      </c>
      <c r="C110" s="1" t="s">
        <v>498</v>
      </c>
      <c r="D110" s="1" t="s">
        <v>917</v>
      </c>
      <c r="E110" s="14" t="s">
        <v>359</v>
      </c>
    </row>
    <row r="111" spans="2:11" x14ac:dyDescent="0.3">
      <c r="B111" s="1">
        <v>107</v>
      </c>
      <c r="C111" s="1" t="s">
        <v>751</v>
      </c>
      <c r="D111" s="1" t="s">
        <v>918</v>
      </c>
      <c r="E111" s="14" t="s">
        <v>360</v>
      </c>
    </row>
    <row r="112" spans="2:11" x14ac:dyDescent="0.3">
      <c r="B112" s="1">
        <v>108</v>
      </c>
      <c r="C112" s="1">
        <v>6552</v>
      </c>
      <c r="D112" s="1" t="s">
        <v>833</v>
      </c>
      <c r="E112" s="14" t="s">
        <v>295</v>
      </c>
    </row>
    <row r="113" spans="2:5" x14ac:dyDescent="0.3">
      <c r="B113" s="1">
        <v>109</v>
      </c>
      <c r="C113" s="1" t="s">
        <v>706</v>
      </c>
      <c r="D113" s="1" t="s">
        <v>919</v>
      </c>
      <c r="E113" s="14" t="s">
        <v>361</v>
      </c>
    </row>
    <row r="114" spans="2:5" x14ac:dyDescent="0.3">
      <c r="B114" s="1">
        <v>110</v>
      </c>
      <c r="C114" s="78" t="s">
        <v>511</v>
      </c>
      <c r="D114" s="78" t="s">
        <v>920</v>
      </c>
      <c r="E114" s="79" t="s">
        <v>365</v>
      </c>
    </row>
    <row r="115" spans="2:5" x14ac:dyDescent="0.3">
      <c r="B115" s="1">
        <v>111</v>
      </c>
      <c r="C115" s="78" t="s">
        <v>776</v>
      </c>
      <c r="D115" s="78" t="s">
        <v>921</v>
      </c>
      <c r="E115" s="79" t="s">
        <v>366</v>
      </c>
    </row>
    <row r="116" spans="2:5" x14ac:dyDescent="0.3">
      <c r="B116" s="1">
        <v>112</v>
      </c>
      <c r="C116" s="1" t="s">
        <v>471</v>
      </c>
      <c r="D116" s="1" t="s">
        <v>922</v>
      </c>
      <c r="E116" s="14" t="s">
        <v>365</v>
      </c>
    </row>
    <row r="117" spans="2:5" x14ac:dyDescent="0.3">
      <c r="B117" s="1">
        <v>113</v>
      </c>
      <c r="C117" s="1" t="s">
        <v>752</v>
      </c>
      <c r="D117" s="1" t="s">
        <v>921</v>
      </c>
      <c r="E117" s="14" t="s">
        <v>366</v>
      </c>
    </row>
    <row r="118" spans="2:5" x14ac:dyDescent="0.3">
      <c r="B118" s="1">
        <v>114</v>
      </c>
      <c r="C118" s="1" t="s">
        <v>475</v>
      </c>
      <c r="D118" s="1" t="s">
        <v>922</v>
      </c>
      <c r="E118" s="14" t="s">
        <v>367</v>
      </c>
    </row>
    <row r="119" spans="2:5" x14ac:dyDescent="0.3">
      <c r="B119" s="1">
        <v>115</v>
      </c>
      <c r="C119" s="1" t="s">
        <v>753</v>
      </c>
      <c r="D119" s="1" t="s">
        <v>921</v>
      </c>
      <c r="E119" s="14" t="s">
        <v>368</v>
      </c>
    </row>
    <row r="120" spans="2:5" x14ac:dyDescent="0.3">
      <c r="B120" s="1">
        <v>116</v>
      </c>
      <c r="C120" s="78" t="s">
        <v>512</v>
      </c>
      <c r="D120" s="78" t="s">
        <v>923</v>
      </c>
      <c r="E120" s="79" t="s">
        <v>369</v>
      </c>
    </row>
    <row r="121" spans="2:5" x14ac:dyDescent="0.3">
      <c r="B121" s="1">
        <v>117</v>
      </c>
      <c r="C121" s="78" t="s">
        <v>777</v>
      </c>
      <c r="D121" s="78" t="s">
        <v>924</v>
      </c>
      <c r="E121" s="79" t="s">
        <v>370</v>
      </c>
    </row>
    <row r="122" spans="2:5" x14ac:dyDescent="0.3">
      <c r="B122" s="1">
        <v>118</v>
      </c>
      <c r="C122" s="1" t="s">
        <v>481</v>
      </c>
      <c r="D122" s="1" t="s">
        <v>923</v>
      </c>
      <c r="E122" s="14" t="s">
        <v>369</v>
      </c>
    </row>
    <row r="123" spans="2:5" x14ac:dyDescent="0.3">
      <c r="B123" s="1">
        <v>119</v>
      </c>
      <c r="C123" s="1" t="s">
        <v>754</v>
      </c>
      <c r="D123" s="1" t="s">
        <v>924</v>
      </c>
      <c r="E123" s="14" t="s">
        <v>370</v>
      </c>
    </row>
    <row r="124" spans="2:5" x14ac:dyDescent="0.3">
      <c r="B124" s="1">
        <v>120</v>
      </c>
      <c r="C124" s="1" t="s">
        <v>489</v>
      </c>
      <c r="D124" s="1" t="s">
        <v>923</v>
      </c>
      <c r="E124" s="14" t="s">
        <v>371</v>
      </c>
    </row>
    <row r="125" spans="2:5" x14ac:dyDescent="0.3">
      <c r="B125" s="1">
        <v>121</v>
      </c>
      <c r="C125" s="1" t="s">
        <v>755</v>
      </c>
      <c r="D125" s="1" t="s">
        <v>924</v>
      </c>
      <c r="E125" s="14" t="s">
        <v>372</v>
      </c>
    </row>
    <row r="126" spans="2:5" x14ac:dyDescent="0.3">
      <c r="B126" s="1">
        <v>122</v>
      </c>
      <c r="C126" s="1">
        <v>6553</v>
      </c>
      <c r="D126" s="1" t="s">
        <v>834</v>
      </c>
      <c r="E126" s="14" t="s">
        <v>296</v>
      </c>
    </row>
    <row r="127" spans="2:5" x14ac:dyDescent="0.3">
      <c r="B127" s="1">
        <v>123</v>
      </c>
      <c r="C127" s="1" t="s">
        <v>707</v>
      </c>
      <c r="D127" s="1" t="s">
        <v>925</v>
      </c>
      <c r="E127" s="14" t="s">
        <v>362</v>
      </c>
    </row>
    <row r="128" spans="2:5" x14ac:dyDescent="0.3">
      <c r="B128" s="1">
        <v>124</v>
      </c>
      <c r="C128" s="78" t="s">
        <v>513</v>
      </c>
      <c r="D128" s="78" t="s">
        <v>926</v>
      </c>
      <c r="E128" s="79" t="s">
        <v>373</v>
      </c>
    </row>
    <row r="129" spans="2:5" x14ac:dyDescent="0.3">
      <c r="B129" s="1">
        <v>125</v>
      </c>
      <c r="C129" s="78" t="s">
        <v>778</v>
      </c>
      <c r="D129" s="78" t="s">
        <v>927</v>
      </c>
      <c r="E129" s="79" t="s">
        <v>374</v>
      </c>
    </row>
    <row r="130" spans="2:5" x14ac:dyDescent="0.3">
      <c r="B130" s="1">
        <v>126</v>
      </c>
      <c r="C130" s="1" t="s">
        <v>472</v>
      </c>
      <c r="D130" s="1" t="s">
        <v>926</v>
      </c>
      <c r="E130" s="14" t="s">
        <v>373</v>
      </c>
    </row>
    <row r="131" spans="2:5" x14ac:dyDescent="0.3">
      <c r="B131" s="1">
        <v>127</v>
      </c>
      <c r="C131" s="1" t="s">
        <v>756</v>
      </c>
      <c r="D131" s="1" t="s">
        <v>927</v>
      </c>
      <c r="E131" s="14" t="s">
        <v>374</v>
      </c>
    </row>
    <row r="132" spans="2:5" x14ac:dyDescent="0.3">
      <c r="B132" s="1">
        <v>128</v>
      </c>
      <c r="C132" s="1" t="s">
        <v>476</v>
      </c>
      <c r="D132" s="1" t="s">
        <v>926</v>
      </c>
      <c r="E132" s="14" t="s">
        <v>375</v>
      </c>
    </row>
    <row r="133" spans="2:5" x14ac:dyDescent="0.3">
      <c r="B133" s="1">
        <v>129</v>
      </c>
      <c r="C133" s="1" t="s">
        <v>757</v>
      </c>
      <c r="D133" s="1" t="s">
        <v>927</v>
      </c>
      <c r="E133" s="14" t="s">
        <v>376</v>
      </c>
    </row>
    <row r="134" spans="2:5" x14ac:dyDescent="0.3">
      <c r="B134" s="1">
        <v>130</v>
      </c>
      <c r="C134" s="78" t="s">
        <v>514</v>
      </c>
      <c r="D134" s="78" t="s">
        <v>928</v>
      </c>
      <c r="E134" s="79" t="s">
        <v>377</v>
      </c>
    </row>
    <row r="135" spans="2:5" x14ac:dyDescent="0.3">
      <c r="B135" s="1">
        <v>131</v>
      </c>
      <c r="C135" s="78" t="s">
        <v>779</v>
      </c>
      <c r="D135" s="78" t="s">
        <v>929</v>
      </c>
      <c r="E135" s="79" t="s">
        <v>378</v>
      </c>
    </row>
    <row r="136" spans="2:5" x14ac:dyDescent="0.3">
      <c r="B136" s="1">
        <v>132</v>
      </c>
      <c r="C136" s="1" t="s">
        <v>482</v>
      </c>
      <c r="D136" s="1" t="s">
        <v>928</v>
      </c>
      <c r="E136" s="14" t="s">
        <v>377</v>
      </c>
    </row>
    <row r="137" spans="2:5" x14ac:dyDescent="0.3">
      <c r="B137" s="1">
        <v>133</v>
      </c>
      <c r="C137" s="1" t="s">
        <v>758</v>
      </c>
      <c r="D137" s="1" t="s">
        <v>929</v>
      </c>
      <c r="E137" s="14" t="s">
        <v>378</v>
      </c>
    </row>
    <row r="138" spans="2:5" x14ac:dyDescent="0.3">
      <c r="B138" s="1">
        <v>134</v>
      </c>
      <c r="C138" s="1" t="s">
        <v>490</v>
      </c>
      <c r="D138" s="1" t="s">
        <v>928</v>
      </c>
      <c r="E138" s="14" t="s">
        <v>379</v>
      </c>
    </row>
    <row r="139" spans="2:5" x14ac:dyDescent="0.3">
      <c r="B139" s="1">
        <v>135</v>
      </c>
      <c r="C139" s="1" t="s">
        <v>759</v>
      </c>
      <c r="D139" s="1" t="s">
        <v>929</v>
      </c>
      <c r="E139" s="14" t="s">
        <v>380</v>
      </c>
    </row>
    <row r="140" spans="2:5" x14ac:dyDescent="0.3">
      <c r="B140" s="1">
        <v>136</v>
      </c>
      <c r="C140" s="1">
        <v>6554</v>
      </c>
      <c r="D140" s="1" t="s">
        <v>835</v>
      </c>
      <c r="E140" s="14" t="s">
        <v>297</v>
      </c>
    </row>
    <row r="141" spans="2:5" x14ac:dyDescent="0.3">
      <c r="B141" s="1">
        <v>137</v>
      </c>
      <c r="C141" s="1" t="s">
        <v>708</v>
      </c>
      <c r="D141" s="1" t="s">
        <v>930</v>
      </c>
      <c r="E141" s="14" t="s">
        <v>363</v>
      </c>
    </row>
    <row r="142" spans="2:5" x14ac:dyDescent="0.3">
      <c r="B142" s="1">
        <v>138</v>
      </c>
      <c r="C142" s="78" t="s">
        <v>515</v>
      </c>
      <c r="D142" s="78" t="s">
        <v>931</v>
      </c>
      <c r="E142" s="79" t="s">
        <v>381</v>
      </c>
    </row>
    <row r="143" spans="2:5" x14ac:dyDescent="0.3">
      <c r="B143" s="1">
        <v>139</v>
      </c>
      <c r="C143" s="78" t="s">
        <v>780</v>
      </c>
      <c r="D143" s="78" t="s">
        <v>932</v>
      </c>
      <c r="E143" s="79" t="s">
        <v>382</v>
      </c>
    </row>
    <row r="144" spans="2:5" x14ac:dyDescent="0.3">
      <c r="B144" s="1">
        <v>140</v>
      </c>
      <c r="C144" s="1" t="s">
        <v>483</v>
      </c>
      <c r="D144" s="1" t="s">
        <v>931</v>
      </c>
      <c r="E144" s="14" t="s">
        <v>381</v>
      </c>
    </row>
    <row r="145" spans="1:16" x14ac:dyDescent="0.3">
      <c r="B145" s="1">
        <v>141</v>
      </c>
      <c r="C145" s="1" t="s">
        <v>760</v>
      </c>
      <c r="D145" s="1" t="s">
        <v>932</v>
      </c>
      <c r="E145" s="14" t="s">
        <v>382</v>
      </c>
    </row>
    <row r="146" spans="1:16" x14ac:dyDescent="0.3">
      <c r="B146" s="1">
        <v>142</v>
      </c>
      <c r="C146" s="1" t="s">
        <v>491</v>
      </c>
      <c r="D146" s="1" t="s">
        <v>931</v>
      </c>
      <c r="E146" s="14" t="s">
        <v>400</v>
      </c>
    </row>
    <row r="147" spans="1:16" x14ac:dyDescent="0.3">
      <c r="B147" s="1">
        <v>143</v>
      </c>
      <c r="C147" s="1" t="s">
        <v>761</v>
      </c>
      <c r="D147" s="1" t="s">
        <v>932</v>
      </c>
      <c r="E147" s="14" t="s">
        <v>383</v>
      </c>
    </row>
    <row r="148" spans="1:16" x14ac:dyDescent="0.3">
      <c r="B148" s="1">
        <v>144</v>
      </c>
      <c r="C148" s="78" t="s">
        <v>516</v>
      </c>
      <c r="D148" s="78" t="s">
        <v>933</v>
      </c>
      <c r="E148" s="79" t="s">
        <v>384</v>
      </c>
    </row>
    <row r="149" spans="1:16" x14ac:dyDescent="0.3">
      <c r="B149" s="1">
        <v>145</v>
      </c>
      <c r="C149" s="78" t="s">
        <v>781</v>
      </c>
      <c r="D149" s="78" t="s">
        <v>934</v>
      </c>
      <c r="E149" s="79" t="s">
        <v>385</v>
      </c>
    </row>
    <row r="150" spans="1:16" x14ac:dyDescent="0.3">
      <c r="B150" s="1">
        <v>146</v>
      </c>
      <c r="C150" s="1" t="s">
        <v>495</v>
      </c>
      <c r="D150" s="1" t="s">
        <v>933</v>
      </c>
      <c r="E150" s="14" t="s">
        <v>384</v>
      </c>
    </row>
    <row r="151" spans="1:16" x14ac:dyDescent="0.3">
      <c r="B151" s="1">
        <v>147</v>
      </c>
      <c r="C151" s="1" t="s">
        <v>762</v>
      </c>
      <c r="D151" s="1" t="s">
        <v>934</v>
      </c>
      <c r="E151" s="14" t="s">
        <v>385</v>
      </c>
    </row>
    <row r="152" spans="1:16" x14ac:dyDescent="0.3">
      <c r="B152" s="1">
        <v>148</v>
      </c>
      <c r="C152" s="1" t="s">
        <v>499</v>
      </c>
      <c r="D152" s="1" t="s">
        <v>933</v>
      </c>
      <c r="E152" s="14" t="s">
        <v>386</v>
      </c>
    </row>
    <row r="153" spans="1:16" x14ac:dyDescent="0.3">
      <c r="B153" s="1">
        <v>149</v>
      </c>
      <c r="C153" s="1" t="s">
        <v>763</v>
      </c>
      <c r="D153" s="1" t="s">
        <v>934</v>
      </c>
      <c r="E153" s="14" t="s">
        <v>387</v>
      </c>
      <c r="P153" s="3"/>
    </row>
    <row r="154" spans="1:16" x14ac:dyDescent="0.3">
      <c r="B154" s="1">
        <v>150</v>
      </c>
      <c r="C154" s="1">
        <v>6555</v>
      </c>
      <c r="D154" s="1" t="s">
        <v>836</v>
      </c>
      <c r="E154" s="14" t="s">
        <v>298</v>
      </c>
      <c r="P154" s="3"/>
    </row>
    <row r="155" spans="1:16" x14ac:dyDescent="0.3">
      <c r="B155" s="1">
        <v>151</v>
      </c>
      <c r="C155" s="1" t="s">
        <v>709</v>
      </c>
      <c r="D155" s="1" t="s">
        <v>935</v>
      </c>
      <c r="E155" s="14" t="s">
        <v>364</v>
      </c>
      <c r="P155" s="3"/>
    </row>
    <row r="156" spans="1:16" s="3" customFormat="1" x14ac:dyDescent="0.3">
      <c r="A156" s="1"/>
      <c r="B156" s="1">
        <v>152</v>
      </c>
      <c r="C156" s="78" t="s">
        <v>517</v>
      </c>
      <c r="D156" s="78" t="s">
        <v>936</v>
      </c>
      <c r="E156" s="79" t="s">
        <v>388</v>
      </c>
      <c r="G156" s="1"/>
      <c r="H156" s="1"/>
      <c r="I156" s="1"/>
      <c r="K156" s="18"/>
    </row>
    <row r="157" spans="1:16" s="3" customFormat="1" x14ac:dyDescent="0.3">
      <c r="A157" s="1"/>
      <c r="B157" s="1">
        <v>153</v>
      </c>
      <c r="C157" s="78" t="s">
        <v>782</v>
      </c>
      <c r="D157" s="78" t="s">
        <v>937</v>
      </c>
      <c r="E157" s="79" t="s">
        <v>389</v>
      </c>
      <c r="G157" s="1"/>
      <c r="H157" s="1"/>
      <c r="I157" s="1"/>
      <c r="K157" s="18"/>
    </row>
    <row r="158" spans="1:16" s="3" customFormat="1" x14ac:dyDescent="0.3">
      <c r="A158" s="1"/>
      <c r="B158" s="1">
        <v>154</v>
      </c>
      <c r="C158" s="1" t="s">
        <v>484</v>
      </c>
      <c r="D158" s="1" t="s">
        <v>938</v>
      </c>
      <c r="E158" s="14" t="s">
        <v>388</v>
      </c>
      <c r="G158" s="1"/>
      <c r="H158" s="1"/>
      <c r="I158" s="1"/>
      <c r="K158" s="18"/>
    </row>
    <row r="159" spans="1:16" s="3" customFormat="1" x14ac:dyDescent="0.3">
      <c r="A159" s="1"/>
      <c r="B159" s="1">
        <v>155</v>
      </c>
      <c r="C159" s="1" t="s">
        <v>764</v>
      </c>
      <c r="D159" s="1" t="s">
        <v>937</v>
      </c>
      <c r="E159" s="14" t="s">
        <v>389</v>
      </c>
      <c r="G159" s="1"/>
      <c r="H159" s="1"/>
      <c r="I159" s="1"/>
      <c r="K159" s="18"/>
    </row>
    <row r="160" spans="1:16" s="3" customFormat="1" x14ac:dyDescent="0.3">
      <c r="A160" s="1"/>
      <c r="B160" s="1">
        <v>156</v>
      </c>
      <c r="C160" s="1" t="s">
        <v>492</v>
      </c>
      <c r="D160" s="1" t="s">
        <v>938</v>
      </c>
      <c r="E160" s="14" t="s">
        <v>390</v>
      </c>
      <c r="G160" s="1"/>
      <c r="H160" s="1"/>
      <c r="I160" s="1"/>
      <c r="K160" s="18"/>
    </row>
    <row r="161" spans="1:14" s="3" customFormat="1" x14ac:dyDescent="0.3">
      <c r="A161" s="1"/>
      <c r="B161" s="1">
        <v>157</v>
      </c>
      <c r="C161" s="1" t="s">
        <v>765</v>
      </c>
      <c r="D161" s="1" t="s">
        <v>937</v>
      </c>
      <c r="E161" s="14" t="s">
        <v>391</v>
      </c>
      <c r="G161" s="1"/>
      <c r="H161" s="1"/>
      <c r="I161" s="1"/>
      <c r="K161" s="18"/>
    </row>
    <row r="162" spans="1:14" s="3" customFormat="1" x14ac:dyDescent="0.3">
      <c r="A162" s="1"/>
      <c r="B162" s="1">
        <v>158</v>
      </c>
      <c r="C162" s="80" t="s">
        <v>518</v>
      </c>
      <c r="D162" s="80" t="s">
        <v>939</v>
      </c>
      <c r="E162" s="79" t="s">
        <v>392</v>
      </c>
      <c r="G162" s="1"/>
      <c r="H162" s="1"/>
      <c r="I162" s="1"/>
      <c r="K162" s="18"/>
    </row>
    <row r="163" spans="1:14" s="3" customFormat="1" x14ac:dyDescent="0.3">
      <c r="A163" s="1"/>
      <c r="B163" s="1">
        <v>159</v>
      </c>
      <c r="C163" s="80" t="s">
        <v>783</v>
      </c>
      <c r="D163" s="80" t="s">
        <v>940</v>
      </c>
      <c r="E163" s="79" t="s">
        <v>393</v>
      </c>
      <c r="G163" s="1"/>
      <c r="H163" s="1"/>
      <c r="I163" s="1"/>
      <c r="K163" s="18"/>
    </row>
    <row r="164" spans="1:14" s="3" customFormat="1" x14ac:dyDescent="0.3">
      <c r="A164" s="1"/>
      <c r="B164" s="1">
        <v>160</v>
      </c>
      <c r="C164" s="1" t="s">
        <v>496</v>
      </c>
      <c r="D164" s="1" t="s">
        <v>939</v>
      </c>
      <c r="E164" s="14" t="s">
        <v>392</v>
      </c>
      <c r="G164" s="1"/>
      <c r="H164" s="1"/>
      <c r="I164" s="1"/>
      <c r="K164" s="18"/>
    </row>
    <row r="165" spans="1:14" s="3" customFormat="1" x14ac:dyDescent="0.3">
      <c r="A165" s="1"/>
      <c r="B165" s="1">
        <v>161</v>
      </c>
      <c r="C165" s="3" t="s">
        <v>766</v>
      </c>
      <c r="D165" s="3" t="s">
        <v>940</v>
      </c>
      <c r="E165" s="14" t="s">
        <v>393</v>
      </c>
      <c r="G165" s="1"/>
      <c r="H165" s="1"/>
      <c r="I165" s="1"/>
      <c r="K165" s="18"/>
      <c r="N165" s="18"/>
    </row>
    <row r="166" spans="1:14" s="3" customFormat="1" x14ac:dyDescent="0.3">
      <c r="A166" s="1"/>
      <c r="B166" s="1">
        <v>162</v>
      </c>
      <c r="C166" s="1" t="s">
        <v>500</v>
      </c>
      <c r="D166" s="1" t="s">
        <v>939</v>
      </c>
      <c r="E166" s="14" t="s">
        <v>394</v>
      </c>
      <c r="G166" s="1"/>
      <c r="H166" s="1"/>
      <c r="I166" s="1"/>
      <c r="K166" s="18"/>
      <c r="N166" s="18"/>
    </row>
    <row r="167" spans="1:14" s="3" customFormat="1" x14ac:dyDescent="0.3">
      <c r="B167" s="1">
        <v>163</v>
      </c>
      <c r="C167" s="3" t="s">
        <v>767</v>
      </c>
      <c r="D167" s="3" t="s">
        <v>940</v>
      </c>
      <c r="E167" s="14" t="s">
        <v>395</v>
      </c>
      <c r="G167" s="1"/>
      <c r="H167" s="1"/>
      <c r="I167" s="1"/>
      <c r="K167" s="18"/>
      <c r="N167" s="18"/>
    </row>
    <row r="168" spans="1:14" s="3" customFormat="1" x14ac:dyDescent="0.3">
      <c r="A168" s="1"/>
      <c r="B168" s="1">
        <v>164</v>
      </c>
      <c r="C168" s="3">
        <v>6562</v>
      </c>
      <c r="D168" s="3" t="s">
        <v>837</v>
      </c>
      <c r="E168" s="14" t="s">
        <v>299</v>
      </c>
      <c r="G168" s="1"/>
      <c r="H168" s="1"/>
      <c r="I168" s="1"/>
      <c r="N168" s="18"/>
    </row>
    <row r="169" spans="1:14" s="3" customFormat="1" x14ac:dyDescent="0.3">
      <c r="B169" s="1">
        <v>165</v>
      </c>
      <c r="C169" s="3" t="s">
        <v>726</v>
      </c>
      <c r="D169" s="3" t="s">
        <v>838</v>
      </c>
      <c r="E169" s="14" t="s">
        <v>396</v>
      </c>
      <c r="G169" s="1"/>
      <c r="H169" s="1"/>
      <c r="I169" s="1"/>
      <c r="N169" s="18"/>
    </row>
    <row r="170" spans="1:14" s="3" customFormat="1" x14ac:dyDescent="0.3">
      <c r="B170" s="1">
        <v>166</v>
      </c>
      <c r="C170" s="3">
        <v>6563</v>
      </c>
      <c r="D170" s="3" t="s">
        <v>839</v>
      </c>
      <c r="E170" s="14" t="s">
        <v>300</v>
      </c>
      <c r="G170" s="1"/>
      <c r="H170" s="1"/>
      <c r="I170" s="1"/>
      <c r="K170" s="18"/>
      <c r="N170" s="18"/>
    </row>
    <row r="171" spans="1:14" s="3" customFormat="1" x14ac:dyDescent="0.3">
      <c r="B171" s="1">
        <v>167</v>
      </c>
      <c r="C171" s="3" t="s">
        <v>727</v>
      </c>
      <c r="D171" s="3" t="s">
        <v>840</v>
      </c>
      <c r="E171" s="14" t="s">
        <v>397</v>
      </c>
      <c r="G171" s="1"/>
      <c r="H171" s="1"/>
      <c r="I171" s="1"/>
      <c r="N171" s="18"/>
    </row>
    <row r="172" spans="1:14" s="3" customFormat="1" x14ac:dyDescent="0.3">
      <c r="B172" s="1">
        <v>168</v>
      </c>
      <c r="C172" s="3">
        <v>6564</v>
      </c>
      <c r="D172" s="3" t="s">
        <v>841</v>
      </c>
      <c r="E172" s="14" t="s">
        <v>301</v>
      </c>
      <c r="G172" s="1"/>
      <c r="H172" s="1"/>
      <c r="I172" s="1"/>
      <c r="K172" s="18"/>
      <c r="N172" s="18"/>
    </row>
    <row r="173" spans="1:14" s="3" customFormat="1" x14ac:dyDescent="0.3">
      <c r="B173" s="1">
        <v>169</v>
      </c>
      <c r="C173" s="3" t="s">
        <v>728</v>
      </c>
      <c r="D173" s="3" t="s">
        <v>842</v>
      </c>
      <c r="E173" s="14" t="s">
        <v>398</v>
      </c>
      <c r="G173" s="1"/>
      <c r="H173" s="1"/>
      <c r="I173" s="1"/>
      <c r="K173" s="18"/>
      <c r="N173" s="18"/>
    </row>
    <row r="174" spans="1:14" s="3" customFormat="1" x14ac:dyDescent="0.3">
      <c r="B174" s="1">
        <v>170</v>
      </c>
      <c r="C174" s="3">
        <v>6565</v>
      </c>
      <c r="D174" s="3" t="s">
        <v>843</v>
      </c>
      <c r="E174" s="14" t="s">
        <v>302</v>
      </c>
      <c r="G174" s="1"/>
      <c r="H174" s="1"/>
      <c r="I174" s="1"/>
      <c r="K174" s="18"/>
      <c r="N174" s="18"/>
    </row>
    <row r="175" spans="1:14" s="3" customFormat="1" x14ac:dyDescent="0.3">
      <c r="B175" s="1">
        <v>171</v>
      </c>
      <c r="C175" s="3" t="s">
        <v>729</v>
      </c>
      <c r="D175" s="3" t="s">
        <v>844</v>
      </c>
      <c r="E175" s="14" t="s">
        <v>399</v>
      </c>
      <c r="G175" s="1"/>
      <c r="H175" s="1"/>
      <c r="I175" s="1"/>
      <c r="K175" s="18"/>
      <c r="N175" s="18"/>
    </row>
    <row r="176" spans="1:14" s="3" customFormat="1" x14ac:dyDescent="0.3">
      <c r="B176" s="1">
        <v>172</v>
      </c>
      <c r="C176" s="3">
        <v>6566</v>
      </c>
      <c r="D176" s="3" t="s">
        <v>845</v>
      </c>
      <c r="E176" s="14" t="s">
        <v>656</v>
      </c>
      <c r="G176" s="1"/>
      <c r="H176" s="1"/>
      <c r="I176" s="1"/>
      <c r="K176" s="18"/>
      <c r="N176" s="18"/>
    </row>
    <row r="177" spans="1:18" s="3" customFormat="1" x14ac:dyDescent="0.3">
      <c r="B177" s="1">
        <v>173</v>
      </c>
      <c r="C177" s="3">
        <v>6567</v>
      </c>
      <c r="D177" s="3" t="s">
        <v>846</v>
      </c>
      <c r="E177" s="14" t="s">
        <v>657</v>
      </c>
      <c r="G177" s="1"/>
      <c r="H177" s="1"/>
      <c r="I177" s="1"/>
      <c r="K177" s="18"/>
      <c r="N177" s="18"/>
    </row>
    <row r="178" spans="1:18" s="3" customFormat="1" x14ac:dyDescent="0.3">
      <c r="B178" s="1">
        <v>174</v>
      </c>
      <c r="C178" s="3" t="s">
        <v>612</v>
      </c>
      <c r="D178" s="3" t="s">
        <v>847</v>
      </c>
      <c r="E178" s="14" t="s">
        <v>658</v>
      </c>
      <c r="G178" s="1"/>
      <c r="H178" s="1"/>
      <c r="I178" s="1"/>
      <c r="K178" s="18"/>
      <c r="N178" s="18"/>
    </row>
    <row r="179" spans="1:18" s="3" customFormat="1" x14ac:dyDescent="0.3">
      <c r="B179" s="1">
        <v>175</v>
      </c>
      <c r="C179" s="3">
        <v>6568</v>
      </c>
      <c r="D179" s="3" t="s">
        <v>848</v>
      </c>
      <c r="E179" s="14" t="s">
        <v>659</v>
      </c>
      <c r="G179" s="1"/>
      <c r="H179" s="1"/>
      <c r="I179" s="1"/>
      <c r="K179" s="18"/>
      <c r="N179" s="18"/>
    </row>
    <row r="180" spans="1:18" s="3" customFormat="1" x14ac:dyDescent="0.3">
      <c r="B180" s="1">
        <v>176</v>
      </c>
      <c r="C180" s="3">
        <v>6569</v>
      </c>
      <c r="D180" s="3" t="s">
        <v>849</v>
      </c>
      <c r="E180" s="14" t="s">
        <v>660</v>
      </c>
      <c r="G180" s="1"/>
      <c r="H180" s="1"/>
      <c r="I180" s="1"/>
      <c r="K180" s="18"/>
      <c r="N180" s="18"/>
    </row>
    <row r="181" spans="1:18" s="3" customFormat="1" x14ac:dyDescent="0.3">
      <c r="B181" s="1">
        <v>177</v>
      </c>
      <c r="C181" s="3" t="s">
        <v>613</v>
      </c>
      <c r="D181" s="3" t="s">
        <v>850</v>
      </c>
      <c r="E181" s="14" t="s">
        <v>661</v>
      </c>
      <c r="G181" s="1"/>
      <c r="H181" s="1"/>
      <c r="I181" s="1"/>
      <c r="K181" s="18"/>
      <c r="N181" s="18"/>
    </row>
    <row r="182" spans="1:18" s="3" customFormat="1" x14ac:dyDescent="0.3">
      <c r="B182" s="1"/>
      <c r="K182" s="18"/>
      <c r="N182" s="18"/>
    </row>
    <row r="183" spans="1:18" s="4" customFormat="1" x14ac:dyDescent="0.3">
      <c r="K183" s="17"/>
      <c r="N183" s="17"/>
    </row>
    <row r="184" spans="1:18" x14ac:dyDescent="0.3">
      <c r="A184" s="75" t="s">
        <v>152</v>
      </c>
      <c r="D184" s="55">
        <f>N198+D185</f>
        <v>5710</v>
      </c>
      <c r="I184" s="6" t="s">
        <v>106</v>
      </c>
      <c r="J184" s="6" t="s">
        <v>107</v>
      </c>
      <c r="K184" s="19" t="s">
        <v>109</v>
      </c>
      <c r="L184" s="6" t="s">
        <v>105</v>
      </c>
      <c r="N184" s="19" t="s">
        <v>124</v>
      </c>
      <c r="O184" s="6" t="s">
        <v>108</v>
      </c>
      <c r="Q184" s="6" t="s">
        <v>120</v>
      </c>
      <c r="R184" s="6" t="s">
        <v>121</v>
      </c>
    </row>
    <row r="185" spans="1:18" x14ac:dyDescent="0.3">
      <c r="A185" s="5" t="s">
        <v>123</v>
      </c>
      <c r="D185" s="56">
        <f>INDEX(B188:E200,C355,4)</f>
        <v>0</v>
      </c>
      <c r="I185" s="1" t="s">
        <v>162</v>
      </c>
      <c r="J185" s="1">
        <f>INDEX(AssyMatrix[#All],Q185,R185)</f>
        <v>2</v>
      </c>
      <c r="K185" s="14">
        <f>VLOOKUP(I185,AssyList[#All],4,FALSE)</f>
        <v>2132</v>
      </c>
      <c r="L185" s="1">
        <v>0</v>
      </c>
      <c r="N185" s="14">
        <f t="shared" ref="N185:N191" si="0">J185*K185</f>
        <v>4264</v>
      </c>
      <c r="O185" s="1">
        <f t="shared" ref="O185:O191" si="1">J185*L185</f>
        <v>0</v>
      </c>
      <c r="Q185" s="1">
        <f>MATCH($B$1,AssyMatrix[[#All],[Model '#]],0)</f>
        <v>9</v>
      </c>
      <c r="R185" s="1">
        <f>MATCH(I185,AssyMatrix[#Headers],0)</f>
        <v>3</v>
      </c>
    </row>
    <row r="186" spans="1:18" x14ac:dyDescent="0.3">
      <c r="A186" s="5"/>
      <c r="I186" s="1" t="s">
        <v>163</v>
      </c>
      <c r="J186" s="1">
        <f>INDEX(AssyMatrix[#All],Q186,R186)</f>
        <v>0</v>
      </c>
      <c r="K186" s="14">
        <f>VLOOKUP(I186,AssyList[#All],4,FALSE)</f>
        <v>1220</v>
      </c>
      <c r="L186" s="1">
        <v>0</v>
      </c>
      <c r="N186" s="14">
        <f t="shared" si="0"/>
        <v>0</v>
      </c>
      <c r="O186" s="1">
        <f t="shared" si="1"/>
        <v>0</v>
      </c>
      <c r="Q186" s="1">
        <f>MATCH($B$1,AssyMatrix[[#All],[Model '#]],0)</f>
        <v>9</v>
      </c>
      <c r="R186" s="1">
        <f>MATCH(I186,AssyMatrix[#Headers],0)</f>
        <v>8</v>
      </c>
    </row>
    <row r="187" spans="1:18" x14ac:dyDescent="0.3">
      <c r="B187" s="1" t="s">
        <v>128</v>
      </c>
      <c r="C187" s="1" t="s">
        <v>103</v>
      </c>
      <c r="D187" s="1" t="s">
        <v>119</v>
      </c>
      <c r="E187" s="1" t="s">
        <v>122</v>
      </c>
      <c r="I187" s="1" t="s">
        <v>164</v>
      </c>
      <c r="J187" s="1">
        <f>INDEX(AssyMatrix[#All],Q187,R187)</f>
        <v>0</v>
      </c>
      <c r="K187" s="14">
        <f>VLOOKUP(I187,AssyList[#All],4,FALSE)</f>
        <v>2892</v>
      </c>
      <c r="L187" s="1">
        <v>0</v>
      </c>
      <c r="N187" s="14">
        <f t="shared" si="0"/>
        <v>0</v>
      </c>
      <c r="O187" s="1">
        <f t="shared" si="1"/>
        <v>0</v>
      </c>
      <c r="Q187" s="1">
        <f>MATCH($B$1,AssyMatrix[[#All],[Model '#]],0)</f>
        <v>9</v>
      </c>
      <c r="R187" s="1">
        <f>MATCH(I187,AssyMatrix[#Headers],0)</f>
        <v>9</v>
      </c>
    </row>
    <row r="188" spans="1:18" x14ac:dyDescent="0.3">
      <c r="B188" s="1">
        <v>1</v>
      </c>
      <c r="C188" s="1" t="str">
        <f>IF($O$198=0,"n/a","COM")</f>
        <v>n/a</v>
      </c>
      <c r="D188" s="1">
        <f>VLOOKUP(C188,GradeCharge[#All],2,FALSE)</f>
        <v>0</v>
      </c>
      <c r="E188" s="1">
        <f t="shared" ref="E188:E189" si="2">D188*$O$198</f>
        <v>0</v>
      </c>
      <c r="I188" s="1" t="s">
        <v>165</v>
      </c>
      <c r="J188" s="1">
        <f>INDEX(AssyMatrix[#All],Q188,R188)</f>
        <v>0</v>
      </c>
      <c r="K188" s="14">
        <f>VLOOKUP(I188,AssyList[#All],4,FALSE)</f>
        <v>2848</v>
      </c>
      <c r="L188" s="1">
        <v>0</v>
      </c>
      <c r="N188" s="14">
        <f t="shared" si="0"/>
        <v>0</v>
      </c>
      <c r="O188" s="1">
        <f t="shared" si="1"/>
        <v>0</v>
      </c>
      <c r="Q188" s="1">
        <f>MATCH($B$1,AssyMatrix[[#All],[Model '#]],0)</f>
        <v>9</v>
      </c>
      <c r="R188" s="1">
        <f>MATCH(I188,AssyMatrix[#Headers],0)</f>
        <v>14</v>
      </c>
    </row>
    <row r="189" spans="1:18" x14ac:dyDescent="0.3">
      <c r="B189" s="1">
        <v>2</v>
      </c>
      <c r="C189" s="1" t="str">
        <f>IF($O$198=0,"n/a","COL")</f>
        <v>n/a</v>
      </c>
      <c r="D189" s="1">
        <f>VLOOKUP(C189,GradeCharge[#All],2,FALSE)</f>
        <v>0</v>
      </c>
      <c r="E189" s="1">
        <f t="shared" si="2"/>
        <v>0</v>
      </c>
      <c r="I189" s="1" t="s">
        <v>167</v>
      </c>
      <c r="J189" s="1">
        <f>INDEX(AssyMatrix[#All],Q189,R189)</f>
        <v>0</v>
      </c>
      <c r="K189" s="14">
        <f>VLOOKUP(I189,AssyList[#All],4,FALSE)</f>
        <v>1415</v>
      </c>
      <c r="L189" s="1">
        <v>0</v>
      </c>
      <c r="N189" s="14">
        <f t="shared" si="0"/>
        <v>0</v>
      </c>
      <c r="O189" s="1">
        <f t="shared" si="1"/>
        <v>0</v>
      </c>
      <c r="Q189" s="1">
        <f>MATCH($B$1,AssyMatrix[[#All],[Model '#]],0)</f>
        <v>9</v>
      </c>
      <c r="R189" s="1">
        <f>MATCH(I189,AssyMatrix[#Headers],0)</f>
        <v>19</v>
      </c>
    </row>
    <row r="190" spans="1:18" x14ac:dyDescent="0.3">
      <c r="B190" s="1">
        <v>3</v>
      </c>
      <c r="C190" s="1" t="str">
        <f>IF($O$198=0,"n/a","GA")</f>
        <v>n/a</v>
      </c>
      <c r="D190" s="1">
        <f>VLOOKUP(C190,GradeCharge[#All],2,FALSE)</f>
        <v>0</v>
      </c>
      <c r="E190" s="1">
        <f t="shared" ref="E190" si="3">D190*$O$198</f>
        <v>0</v>
      </c>
      <c r="I190" s="1" t="s">
        <v>169</v>
      </c>
      <c r="J190" s="1">
        <f>INDEX(AssyMatrix[#All],Q190,R190)</f>
        <v>0</v>
      </c>
      <c r="K190" s="14">
        <f>VLOOKUP(I190,AssyList[#All],4,FALSE)</f>
        <v>3523</v>
      </c>
      <c r="L190" s="1">
        <v>0</v>
      </c>
      <c r="M190" s="3"/>
      <c r="N190" s="14">
        <f t="shared" si="0"/>
        <v>0</v>
      </c>
      <c r="O190" s="1">
        <f t="shared" si="1"/>
        <v>0</v>
      </c>
      <c r="P190" s="3"/>
      <c r="Q190" s="1">
        <f>MATCH($B$1,AssyMatrix[[#All],[Model '#]],0)</f>
        <v>9</v>
      </c>
      <c r="R190" s="1">
        <f>MATCH(I190,AssyMatrix[#Headers],0)</f>
        <v>20</v>
      </c>
    </row>
    <row r="191" spans="1:18" x14ac:dyDescent="0.3">
      <c r="B191" s="1">
        <v>4</v>
      </c>
      <c r="C191" s="1" t="str">
        <f>IF($O$198=0,"n/a","G1")</f>
        <v>n/a</v>
      </c>
      <c r="D191" s="1">
        <f>VLOOKUP(C191,GradeCharge[#All],2,FALSE)</f>
        <v>0</v>
      </c>
      <c r="E191" s="1">
        <f t="shared" ref="E191:E199" si="4">D191*$O$198</f>
        <v>0</v>
      </c>
      <c r="I191" s="1" t="s">
        <v>170</v>
      </c>
      <c r="J191" s="1">
        <f>INDEX(AssyMatrix[#All],Q191,R191)</f>
        <v>1</v>
      </c>
      <c r="K191" s="14">
        <f>VLOOKUP(I191,AssyList[#All],4,FALSE)</f>
        <v>1446</v>
      </c>
      <c r="L191" s="1">
        <v>0</v>
      </c>
      <c r="N191" s="14">
        <f t="shared" si="0"/>
        <v>1446</v>
      </c>
      <c r="O191" s="1">
        <f t="shared" si="1"/>
        <v>0</v>
      </c>
      <c r="Q191" s="1">
        <f>MATCH($B$1,AssyMatrix[[#All],[Model '#]],0)</f>
        <v>9</v>
      </c>
      <c r="R191" s="1">
        <f>MATCH(I191,AssyMatrix[#Headers],0)</f>
        <v>25</v>
      </c>
    </row>
    <row r="192" spans="1:18" x14ac:dyDescent="0.3">
      <c r="B192" s="1">
        <v>5</v>
      </c>
      <c r="C192" s="1" t="str">
        <f>IF($O$198=0,"n/a","G2")</f>
        <v>n/a</v>
      </c>
      <c r="D192" s="1">
        <f>VLOOKUP(C192,GradeCharge[#All],2,FALSE)</f>
        <v>0</v>
      </c>
      <c r="E192" s="1">
        <f t="shared" si="4"/>
        <v>0</v>
      </c>
      <c r="I192" s="1" t="s">
        <v>569</v>
      </c>
      <c r="J192" s="1">
        <f>INDEX(AssyMatrix[#All],Q192,R192)</f>
        <v>0</v>
      </c>
      <c r="K192" s="14">
        <f>VLOOKUP(I192,AssyList[#All],4,FALSE)</f>
        <v>2132</v>
      </c>
      <c r="L192" s="1">
        <v>0</v>
      </c>
      <c r="N192" s="14">
        <f t="shared" ref="N192" si="5">J192*K192</f>
        <v>0</v>
      </c>
      <c r="O192" s="1">
        <f t="shared" ref="O192" si="6">J192*L192</f>
        <v>0</v>
      </c>
      <c r="Q192" s="1">
        <f>MATCH($B$1,AssyMatrix[[#All],[Model '#]],0)</f>
        <v>9</v>
      </c>
      <c r="R192" s="1">
        <f>MATCH(I192,AssyMatrix[#Headers],0)</f>
        <v>74</v>
      </c>
    </row>
    <row r="193" spans="1:18" x14ac:dyDescent="0.3">
      <c r="B193" s="1">
        <v>6</v>
      </c>
      <c r="C193" s="1" t="str">
        <f>IF($O$198=0,"n/a","G3")</f>
        <v>n/a</v>
      </c>
      <c r="D193" s="1">
        <f>VLOOKUP(C193,GradeCharge[#All],2,FALSE)</f>
        <v>0</v>
      </c>
      <c r="E193" s="1">
        <f t="shared" si="4"/>
        <v>0</v>
      </c>
      <c r="I193" s="1" t="s">
        <v>572</v>
      </c>
      <c r="J193" s="1">
        <f>INDEX(AssyMatrix[#All],Q193,R193)</f>
        <v>0</v>
      </c>
      <c r="K193" s="14">
        <f>VLOOKUP(I193,AssyList[#All],4,FALSE)</f>
        <v>1767</v>
      </c>
      <c r="L193" s="1">
        <v>0</v>
      </c>
      <c r="N193" s="14">
        <f t="shared" ref="N193" si="7">J193*K193</f>
        <v>0</v>
      </c>
      <c r="O193" s="1">
        <f t="shared" ref="O193" si="8">J193*L193</f>
        <v>0</v>
      </c>
      <c r="Q193" s="1">
        <f>MATCH($B$1,AssyMatrix[[#All],[Model '#]],0)</f>
        <v>9</v>
      </c>
      <c r="R193" s="1">
        <f>MATCH(I193,AssyMatrix[#Headers],0)</f>
        <v>77</v>
      </c>
    </row>
    <row r="194" spans="1:18" x14ac:dyDescent="0.3">
      <c r="B194" s="1">
        <v>7</v>
      </c>
      <c r="C194" s="1" t="str">
        <f>IF($O$198=0,"n/a","G4")</f>
        <v>n/a</v>
      </c>
      <c r="D194" s="1">
        <f>VLOOKUP(C194,GradeCharge[#All],2,FALSE)</f>
        <v>0</v>
      </c>
      <c r="E194" s="1">
        <f t="shared" si="4"/>
        <v>0</v>
      </c>
      <c r="I194" s="1" t="s">
        <v>615</v>
      </c>
      <c r="J194" s="1">
        <f>INDEX(AssyMatrix[#All],Q194,R194)</f>
        <v>0</v>
      </c>
      <c r="K194" s="14">
        <f>VLOOKUP(I194,AssyList[#All],4,FALSE)</f>
        <v>2874</v>
      </c>
      <c r="L194" s="1">
        <v>0</v>
      </c>
      <c r="N194" s="14">
        <f t="shared" ref="N194:N196" si="9">J194*K194</f>
        <v>0</v>
      </c>
      <c r="O194" s="1">
        <f t="shared" ref="O194:O196" si="10">J194*L194</f>
        <v>0</v>
      </c>
      <c r="Q194" s="1">
        <f>MATCH($B$1,AssyMatrix[[#All],[Model '#]],0)</f>
        <v>9</v>
      </c>
      <c r="R194" s="1">
        <f>MATCH(I194,AssyMatrix[#Headers],0)</f>
        <v>84</v>
      </c>
    </row>
    <row r="195" spans="1:18" x14ac:dyDescent="0.3">
      <c r="B195" s="1">
        <v>8</v>
      </c>
      <c r="C195" s="1" t="str">
        <f>IF($O$198=0,"n/a","G5")</f>
        <v>n/a</v>
      </c>
      <c r="D195" s="1">
        <f>VLOOKUP(C195,GradeCharge[#All],2,FALSE)</f>
        <v>0</v>
      </c>
      <c r="E195" s="1">
        <f t="shared" si="4"/>
        <v>0</v>
      </c>
      <c r="I195" s="1" t="s">
        <v>617</v>
      </c>
      <c r="J195" s="1">
        <f>INDEX(AssyMatrix[#All],Q195,R195)</f>
        <v>0</v>
      </c>
      <c r="K195" s="14">
        <f>VLOOKUP(I195,AssyList[#All],4,FALSE)</f>
        <v>5391</v>
      </c>
      <c r="L195" s="1">
        <v>0</v>
      </c>
      <c r="N195" s="14">
        <f t="shared" si="9"/>
        <v>0</v>
      </c>
      <c r="O195" s="1">
        <f t="shared" si="10"/>
        <v>0</v>
      </c>
      <c r="Q195" s="1">
        <f>MATCH($B$1,AssyMatrix[[#All],[Model '#]],0)</f>
        <v>9</v>
      </c>
      <c r="R195" s="1">
        <f>MATCH(I195,AssyMatrix[#Headers],0)</f>
        <v>89</v>
      </c>
    </row>
    <row r="196" spans="1:18" x14ac:dyDescent="0.3">
      <c r="B196" s="1">
        <v>9</v>
      </c>
      <c r="C196" s="1" t="str">
        <f>IF($O$198=0,"n/a","G6")</f>
        <v>n/a</v>
      </c>
      <c r="D196" s="1">
        <f>VLOOKUP(C196,GradeCharge[#All],2,FALSE)</f>
        <v>0</v>
      </c>
      <c r="E196" s="1">
        <f t="shared" si="4"/>
        <v>0</v>
      </c>
      <c r="I196" s="1" t="s">
        <v>623</v>
      </c>
      <c r="J196" s="1">
        <f>INDEX(AssyMatrix[#All],Q196,R196)</f>
        <v>0</v>
      </c>
      <c r="K196" s="14">
        <f>VLOOKUP(I196,AssyList[#All],4,FALSE)</f>
        <v>3553</v>
      </c>
      <c r="L196" s="1">
        <v>0</v>
      </c>
      <c r="N196" s="14">
        <f t="shared" si="9"/>
        <v>0</v>
      </c>
      <c r="O196" s="1">
        <f t="shared" si="10"/>
        <v>0</v>
      </c>
      <c r="Q196" s="1">
        <f>MATCH($B$1,AssyMatrix[[#All],[Model '#]],0)</f>
        <v>9</v>
      </c>
      <c r="R196" s="1">
        <f>MATCH(I196,AssyMatrix[#Headers],0)</f>
        <v>91</v>
      </c>
    </row>
    <row r="197" spans="1:18" x14ac:dyDescent="0.3">
      <c r="B197" s="1">
        <v>10</v>
      </c>
      <c r="C197" s="1" t="str">
        <f>IF($O$198=0,"n/a","G7")</f>
        <v>n/a</v>
      </c>
      <c r="D197" s="1">
        <f>VLOOKUP(C197,GradeCharge[#All],2,FALSE)</f>
        <v>0</v>
      </c>
      <c r="E197" s="1">
        <f t="shared" si="4"/>
        <v>0</v>
      </c>
      <c r="I197" s="1" t="s">
        <v>629</v>
      </c>
      <c r="J197" s="1">
        <f>INDEX(AssyMatrix[#All],Q197,R197)</f>
        <v>0</v>
      </c>
      <c r="K197" s="14">
        <f>VLOOKUP(I197,AssyList[#All],4,FALSE)</f>
        <v>6513</v>
      </c>
      <c r="L197" s="1">
        <v>0</v>
      </c>
      <c r="N197" s="14">
        <f t="shared" ref="N197" si="11">J197*K197</f>
        <v>0</v>
      </c>
      <c r="O197" s="1">
        <f t="shared" ref="O197" si="12">J197*L197</f>
        <v>0</v>
      </c>
      <c r="Q197" s="1">
        <f>MATCH($B$1,AssyMatrix[[#All],[Model '#]],0)</f>
        <v>9</v>
      </c>
      <c r="R197" s="1">
        <f>MATCH(I197,AssyMatrix[#Headers],0)</f>
        <v>96</v>
      </c>
    </row>
    <row r="198" spans="1:18" x14ac:dyDescent="0.3">
      <c r="B198" s="1">
        <v>11</v>
      </c>
      <c r="C198" s="1" t="str">
        <f>IF($O$198=0,"n/a","G8")</f>
        <v>n/a</v>
      </c>
      <c r="D198" s="1">
        <f>VLOOKUP(C198,GradeCharge[#All],2,FALSE)</f>
        <v>0</v>
      </c>
      <c r="E198" s="1">
        <f t="shared" si="4"/>
        <v>0</v>
      </c>
      <c r="I198" s="4" t="s">
        <v>125</v>
      </c>
      <c r="J198" s="4"/>
      <c r="K198" s="17"/>
      <c r="L198" s="4"/>
      <c r="M198" s="3"/>
      <c r="N198" s="91">
        <f t="shared" ref="N198:O198" si="13">SUM(N185:N197)</f>
        <v>5710</v>
      </c>
      <c r="O198" s="91">
        <f t="shared" si="13"/>
        <v>0</v>
      </c>
      <c r="P198" s="3"/>
      <c r="Q198" s="4"/>
      <c r="R198" s="4"/>
    </row>
    <row r="199" spans="1:18" x14ac:dyDescent="0.3">
      <c r="B199" s="1">
        <v>12</v>
      </c>
      <c r="C199" s="1" t="str">
        <f>IF($O$198=0,"n/a","L1")</f>
        <v>n/a</v>
      </c>
      <c r="D199" s="1">
        <f>VLOOKUP(C199,GradeCharge[#All],2,FALSE)</f>
        <v>0</v>
      </c>
      <c r="E199" s="1">
        <f t="shared" si="4"/>
        <v>0</v>
      </c>
      <c r="M199" s="3"/>
      <c r="P199" s="3"/>
    </row>
    <row r="200" spans="1:18" x14ac:dyDescent="0.3">
      <c r="I200" s="9"/>
    </row>
    <row r="201" spans="1:18" x14ac:dyDescent="0.3">
      <c r="I201" s="9"/>
    </row>
    <row r="202" spans="1:18" s="4" customFormat="1" x14ac:dyDescent="0.3">
      <c r="K202" s="17"/>
      <c r="N202" s="17"/>
    </row>
    <row r="203" spans="1:18" x14ac:dyDescent="0.3">
      <c r="A203" s="75" t="s">
        <v>237</v>
      </c>
      <c r="D203" s="55">
        <f>N218+D204</f>
        <v>1914.75</v>
      </c>
      <c r="I203" s="6" t="s">
        <v>106</v>
      </c>
      <c r="J203" s="6" t="s">
        <v>107</v>
      </c>
      <c r="K203" s="19" t="s">
        <v>109</v>
      </c>
      <c r="L203" s="6" t="s">
        <v>105</v>
      </c>
      <c r="N203" s="19" t="s">
        <v>124</v>
      </c>
      <c r="O203" s="6" t="s">
        <v>108</v>
      </c>
      <c r="Q203" s="6" t="s">
        <v>120</v>
      </c>
      <c r="R203" s="6" t="s">
        <v>121</v>
      </c>
    </row>
    <row r="204" spans="1:18" x14ac:dyDescent="0.3">
      <c r="A204" s="5" t="s">
        <v>123</v>
      </c>
      <c r="D204" s="55">
        <f>INDEX(B207:E218,C349,4)</f>
        <v>1914.75</v>
      </c>
      <c r="I204" s="1" t="s">
        <v>205</v>
      </c>
      <c r="J204" s="1">
        <f>INDEX(AssyMatrix[#All],Q204,R204)</f>
        <v>2</v>
      </c>
      <c r="K204" s="14">
        <v>0</v>
      </c>
      <c r="L204" s="1">
        <f>VLOOKUP(I204,AssyList[#All],3,FALSE)</f>
        <v>2</v>
      </c>
      <c r="N204" s="14">
        <f t="shared" ref="N204:N210" si="14">J204*K204</f>
        <v>0</v>
      </c>
      <c r="O204" s="1">
        <f>J204*L204</f>
        <v>4</v>
      </c>
      <c r="Q204" s="1">
        <f>MATCH($B$1,AssyMatrix[[#All],[Model '#]],0)</f>
        <v>9</v>
      </c>
      <c r="R204" s="1">
        <f>MATCH(I204,AssyMatrix[#Headers],0)</f>
        <v>7</v>
      </c>
    </row>
    <row r="205" spans="1:18" x14ac:dyDescent="0.3">
      <c r="A205" s="5"/>
      <c r="I205" s="1" t="s">
        <v>163</v>
      </c>
      <c r="J205" s="1">
        <f>INDEX(AssyMatrix[#All],Q205,R205)</f>
        <v>0</v>
      </c>
      <c r="K205" s="14">
        <v>0</v>
      </c>
      <c r="L205" s="1">
        <f>VLOOKUP(I205,AssyList[#All],3,FALSE)</f>
        <v>3.75</v>
      </c>
      <c r="N205" s="14">
        <f t="shared" si="14"/>
        <v>0</v>
      </c>
      <c r="O205" s="1">
        <f t="shared" ref="O205:O210" si="15">J205*L205</f>
        <v>0</v>
      </c>
      <c r="Q205" s="1">
        <f>MATCH($B$1,AssyMatrix[[#All],[Model '#]],0)</f>
        <v>9</v>
      </c>
      <c r="R205" s="1">
        <f>MATCH(I205,AssyMatrix[#Headers],0)</f>
        <v>8</v>
      </c>
    </row>
    <row r="206" spans="1:18" x14ac:dyDescent="0.3">
      <c r="B206" s="1" t="s">
        <v>128</v>
      </c>
      <c r="C206" s="1" t="s">
        <v>103</v>
      </c>
      <c r="D206" s="1" t="s">
        <v>119</v>
      </c>
      <c r="E206" s="1" t="s">
        <v>122</v>
      </c>
      <c r="I206" s="1" t="s">
        <v>209</v>
      </c>
      <c r="J206" s="1">
        <f>INDEX(AssyMatrix[#All],Q206,R206)</f>
        <v>0</v>
      </c>
      <c r="K206" s="14">
        <v>0</v>
      </c>
      <c r="L206" s="1">
        <f>VLOOKUP(I206,AssyList[#All],3,FALSE)</f>
        <v>4</v>
      </c>
      <c r="N206" s="14">
        <f t="shared" si="14"/>
        <v>0</v>
      </c>
      <c r="O206" s="1">
        <f t="shared" si="15"/>
        <v>0</v>
      </c>
      <c r="Q206" s="1">
        <f>MATCH($B$1,AssyMatrix[[#All],[Model '#]],0)</f>
        <v>9</v>
      </c>
      <c r="R206" s="1">
        <f>MATCH(I206,AssyMatrix[#Headers],0)</f>
        <v>13</v>
      </c>
    </row>
    <row r="207" spans="1:18" x14ac:dyDescent="0.3">
      <c r="B207" s="1">
        <v>1</v>
      </c>
      <c r="C207" s="1" t="str">
        <f>IF($O$218=0,"n/a","COM")</f>
        <v>COM</v>
      </c>
      <c r="D207" s="1">
        <f>VLOOKUP(C207,GradeCharge[#All],2,FALSE)</f>
        <v>0</v>
      </c>
      <c r="E207" s="1">
        <f t="shared" ref="E207:E218" si="16">D207*$O$218</f>
        <v>0</v>
      </c>
      <c r="I207" s="1" t="s">
        <v>213</v>
      </c>
      <c r="J207" s="1">
        <f>INDEX(AssyMatrix[#All],Q207,R207)</f>
        <v>0</v>
      </c>
      <c r="K207" s="14">
        <v>0</v>
      </c>
      <c r="L207" s="1">
        <f>VLOOKUP(I207,AssyList[#All],3,FALSE)</f>
        <v>4</v>
      </c>
      <c r="N207" s="14">
        <f t="shared" si="14"/>
        <v>0</v>
      </c>
      <c r="O207" s="1">
        <f t="shared" si="15"/>
        <v>0</v>
      </c>
      <c r="Q207" s="1">
        <f>MATCH($B$1,AssyMatrix[[#All],[Model '#]],0)</f>
        <v>9</v>
      </c>
      <c r="R207" s="1">
        <f>MATCH(I207,AssyMatrix[#Headers],0)</f>
        <v>18</v>
      </c>
    </row>
    <row r="208" spans="1:18" x14ac:dyDescent="0.3">
      <c r="B208" s="1">
        <v>2</v>
      </c>
      <c r="C208" s="1" t="str">
        <f>IF($O$218=0,"n/a","COL")</f>
        <v>COL</v>
      </c>
      <c r="D208" s="1">
        <f>VLOOKUP(C208,GradeCharge[#All],2,FALSE)</f>
        <v>104</v>
      </c>
      <c r="E208" s="1">
        <f t="shared" si="16"/>
        <v>962</v>
      </c>
      <c r="I208" s="1" t="s">
        <v>167</v>
      </c>
      <c r="J208" s="1">
        <f>INDEX(AssyMatrix[#All],Q208,R208)</f>
        <v>0</v>
      </c>
      <c r="K208" s="14">
        <v>0</v>
      </c>
      <c r="L208" s="1">
        <f>VLOOKUP(I208,AssyList[#All],3,FALSE)</f>
        <v>4.5</v>
      </c>
      <c r="N208" s="14">
        <f t="shared" si="14"/>
        <v>0</v>
      </c>
      <c r="O208" s="1">
        <f t="shared" si="15"/>
        <v>0</v>
      </c>
      <c r="Q208" s="1">
        <f>MATCH($B$1,AssyMatrix[[#All],[Model '#]],0)</f>
        <v>9</v>
      </c>
      <c r="R208" s="1">
        <f>MATCH(I208,AssyMatrix[#Headers],0)</f>
        <v>19</v>
      </c>
    </row>
    <row r="209" spans="1:18" x14ac:dyDescent="0.3">
      <c r="B209" s="1">
        <v>3</v>
      </c>
      <c r="C209" s="1" t="str">
        <f>IF($O$218=0,"n/a","GA")</f>
        <v>GA</v>
      </c>
      <c r="D209" s="1">
        <f>VLOOKUP(C209,GradeCharge[#All],2,FALSE)</f>
        <v>38</v>
      </c>
      <c r="E209" s="1">
        <f t="shared" si="16"/>
        <v>351.5</v>
      </c>
      <c r="I209" s="1" t="s">
        <v>217</v>
      </c>
      <c r="J209" s="1">
        <f>INDEX(AssyMatrix[#All],Q209,R209)</f>
        <v>0</v>
      </c>
      <c r="K209" s="14">
        <v>0</v>
      </c>
      <c r="L209" s="1">
        <f>VLOOKUP(I209,AssyList[#All],3,FALSE)</f>
        <v>4.5</v>
      </c>
      <c r="M209" s="3"/>
      <c r="N209" s="14">
        <f t="shared" si="14"/>
        <v>0</v>
      </c>
      <c r="O209" s="1">
        <f t="shared" si="15"/>
        <v>0</v>
      </c>
      <c r="P209" s="3"/>
      <c r="Q209" s="1">
        <f>MATCH($B$1,AssyMatrix[[#All],[Model '#]],0)</f>
        <v>9</v>
      </c>
      <c r="R209" s="1">
        <f>MATCH(I209,AssyMatrix[#Headers],0)</f>
        <v>24</v>
      </c>
    </row>
    <row r="210" spans="1:18" x14ac:dyDescent="0.3">
      <c r="B210" s="1">
        <v>4</v>
      </c>
      <c r="C210" s="1" t="str">
        <f>IF($O$218=0,"n/a","G1")</f>
        <v>G1</v>
      </c>
      <c r="D210" s="1">
        <f>VLOOKUP(C210,GradeCharge[#All],2,FALSE)</f>
        <v>63</v>
      </c>
      <c r="E210" s="1">
        <f t="shared" si="16"/>
        <v>582.75</v>
      </c>
      <c r="I210" s="1" t="s">
        <v>170</v>
      </c>
      <c r="J210" s="1">
        <f>INDEX(AssyMatrix[#All],Q210,R210)</f>
        <v>1</v>
      </c>
      <c r="K210" s="14">
        <v>0</v>
      </c>
      <c r="L210" s="1">
        <f>VLOOKUP(I210,AssyList[#All],3,FALSE)</f>
        <v>5.25</v>
      </c>
      <c r="N210" s="14">
        <f t="shared" si="14"/>
        <v>0</v>
      </c>
      <c r="O210" s="1">
        <f t="shared" si="15"/>
        <v>5.25</v>
      </c>
      <c r="Q210" s="1">
        <f>MATCH($B$1,AssyMatrix[[#All],[Model '#]],0)</f>
        <v>9</v>
      </c>
      <c r="R210" s="1">
        <f>MATCH(I210,AssyMatrix[#Headers],0)</f>
        <v>25</v>
      </c>
    </row>
    <row r="211" spans="1:18" x14ac:dyDescent="0.3">
      <c r="B211" s="1">
        <v>5</v>
      </c>
      <c r="C211" s="1" t="str">
        <f>IF($O$218=0,"n/a","G2")</f>
        <v>G2</v>
      </c>
      <c r="D211" s="1">
        <f>VLOOKUP(C211,GradeCharge[#All],2,FALSE)</f>
        <v>78</v>
      </c>
      <c r="E211" s="1">
        <f t="shared" si="16"/>
        <v>721.5</v>
      </c>
      <c r="I211" s="1" t="s">
        <v>571</v>
      </c>
      <c r="J211" s="1">
        <f>INDEX(AssyMatrix[#All],Q211,R211)</f>
        <v>0</v>
      </c>
      <c r="K211" s="14">
        <v>0</v>
      </c>
      <c r="L211" s="1">
        <f>VLOOKUP(I211,AssyList[#All],3,FALSE)</f>
        <v>2</v>
      </c>
      <c r="N211" s="14">
        <f t="shared" ref="N211" si="17">J211*K211</f>
        <v>0</v>
      </c>
      <c r="O211" s="1">
        <f t="shared" ref="O211" si="18">J211*L211</f>
        <v>0</v>
      </c>
      <c r="Q211" s="1">
        <f>MATCH($B$1,AssyMatrix[[#All],[Model '#]],0)</f>
        <v>9</v>
      </c>
      <c r="R211" s="1">
        <f>MATCH(I211,AssyMatrix[#Headers],0)</f>
        <v>76</v>
      </c>
    </row>
    <row r="212" spans="1:18" x14ac:dyDescent="0.3">
      <c r="B212" s="1">
        <v>6</v>
      </c>
      <c r="C212" s="1" t="str">
        <f>IF($O$218=0,"n/a","G3")</f>
        <v>G3</v>
      </c>
      <c r="D212" s="1">
        <f>VLOOKUP(C212,GradeCharge[#All],2,FALSE)</f>
        <v>104</v>
      </c>
      <c r="E212" s="1">
        <f t="shared" si="16"/>
        <v>962</v>
      </c>
      <c r="I212" s="1" t="s">
        <v>572</v>
      </c>
      <c r="J212" s="1">
        <f>INDEX(AssyMatrix[#All],Q212,R212)</f>
        <v>0</v>
      </c>
      <c r="K212" s="14">
        <v>0</v>
      </c>
      <c r="L212" s="1">
        <f>VLOOKUP(I212,AssyList[#All],3,FALSE)</f>
        <v>4.5</v>
      </c>
      <c r="N212" s="14">
        <f t="shared" ref="N212" si="19">J212*K212</f>
        <v>0</v>
      </c>
      <c r="O212" s="1">
        <f t="shared" ref="O212" si="20">J212*L212</f>
        <v>0</v>
      </c>
      <c r="Q212" s="1">
        <f>MATCH($B$1,AssyMatrix[[#All],[Model '#]],0)</f>
        <v>9</v>
      </c>
      <c r="R212" s="1">
        <f>MATCH(I212,AssyMatrix[#Headers],0)</f>
        <v>77</v>
      </c>
    </row>
    <row r="213" spans="1:18" x14ac:dyDescent="0.3">
      <c r="B213" s="1">
        <v>7</v>
      </c>
      <c r="C213" s="1" t="str">
        <f>IF($O$218=0,"n/a","G4")</f>
        <v>G4</v>
      </c>
      <c r="D213" s="1">
        <f>VLOOKUP(C213,GradeCharge[#All],2,FALSE)</f>
        <v>132</v>
      </c>
      <c r="E213" s="1">
        <f t="shared" si="16"/>
        <v>1221</v>
      </c>
      <c r="I213" s="1" t="s">
        <v>589</v>
      </c>
      <c r="J213" s="1">
        <f>INDEX(AssyMatrix[#All],Q213,R213)</f>
        <v>0</v>
      </c>
      <c r="K213" s="14">
        <v>0</v>
      </c>
      <c r="L213" s="1">
        <f>VLOOKUP(I213,AssyList[#All],3,FALSE)</f>
        <v>2</v>
      </c>
      <c r="N213" s="14">
        <f t="shared" ref="N213" si="21">J213*K213</f>
        <v>0</v>
      </c>
      <c r="O213" s="1">
        <f t="shared" ref="O213" si="22">J213*L213</f>
        <v>0</v>
      </c>
      <c r="Q213" s="1">
        <f>MATCH($B$1,AssyMatrix[[#All],[Model '#]],0)</f>
        <v>9</v>
      </c>
      <c r="R213" s="1">
        <f>MATCH(I213,AssyMatrix[#Headers],0)</f>
        <v>83</v>
      </c>
    </row>
    <row r="214" spans="1:18" x14ac:dyDescent="0.3">
      <c r="B214" s="1">
        <v>8</v>
      </c>
      <c r="C214" s="1" t="str">
        <f>IF($O$218=0,"n/a","G5")</f>
        <v>G5</v>
      </c>
      <c r="D214" s="1">
        <f>VLOOKUP(C214,GradeCharge[#All],2,FALSE)</f>
        <v>157</v>
      </c>
      <c r="E214" s="1">
        <f t="shared" si="16"/>
        <v>1452.25</v>
      </c>
      <c r="I214" s="1" t="s">
        <v>621</v>
      </c>
      <c r="J214" s="1">
        <f>INDEX(AssyMatrix[#All],Q214,R214)</f>
        <v>0</v>
      </c>
      <c r="K214" s="14">
        <v>0</v>
      </c>
      <c r="L214" s="1">
        <f>VLOOKUP(I214,AssyList[#All],3,FALSE)</f>
        <v>4.5</v>
      </c>
      <c r="N214" s="14">
        <f t="shared" ref="N214" si="23">J214*K214</f>
        <v>0</v>
      </c>
      <c r="O214" s="1">
        <f t="shared" ref="O214" si="24">J214*L214</f>
        <v>0</v>
      </c>
      <c r="Q214" s="1">
        <f>MATCH($B$1,AssyMatrix[[#All],[Model '#]],0)</f>
        <v>9</v>
      </c>
      <c r="R214" s="1">
        <f>MATCH(I214,AssyMatrix[#Headers],0)</f>
        <v>86</v>
      </c>
    </row>
    <row r="215" spans="1:18" x14ac:dyDescent="0.3">
      <c r="B215" s="1">
        <v>9</v>
      </c>
      <c r="C215" s="1" t="str">
        <f>IF($O$218=0,"n/a","G6")</f>
        <v>G6</v>
      </c>
      <c r="D215" s="1">
        <f>VLOOKUP(C215,GradeCharge[#All],2,FALSE)</f>
        <v>183</v>
      </c>
      <c r="E215" s="1">
        <f t="shared" si="16"/>
        <v>1692.75</v>
      </c>
      <c r="I215" s="1" t="s">
        <v>664</v>
      </c>
      <c r="J215" s="1">
        <f>INDEX(AssyMatrix[#All],Q215,R215)</f>
        <v>0</v>
      </c>
      <c r="K215" s="14">
        <v>0</v>
      </c>
      <c r="L215" s="1">
        <f>VLOOKUP(I215,AssyList[#All],3,FALSE)</f>
        <v>4.75</v>
      </c>
      <c r="N215" s="14">
        <f t="shared" ref="N215:N217" si="25">J215*K215</f>
        <v>0</v>
      </c>
      <c r="O215" s="1">
        <f t="shared" ref="O215:O217" si="26">J215*L215</f>
        <v>0</v>
      </c>
      <c r="Q215" s="1">
        <f>MATCH($B$1,AssyMatrix[[#All],[Model '#]],0)</f>
        <v>9</v>
      </c>
      <c r="R215" s="1">
        <f>MATCH(I215,AssyMatrix[#Headers],0)</f>
        <v>90</v>
      </c>
    </row>
    <row r="216" spans="1:18" x14ac:dyDescent="0.3">
      <c r="B216" s="1">
        <v>10</v>
      </c>
      <c r="C216" s="1" t="str">
        <f>IF($O$218=0,"n/a","G7")</f>
        <v>G7</v>
      </c>
      <c r="D216" s="1">
        <f>VLOOKUP(C216,GradeCharge[#All],2,FALSE)</f>
        <v>207</v>
      </c>
      <c r="E216" s="1">
        <f t="shared" si="16"/>
        <v>1914.75</v>
      </c>
      <c r="I216" s="1" t="s">
        <v>626</v>
      </c>
      <c r="J216" s="1">
        <f>INDEX(AssyMatrix[#All],Q216,R216)</f>
        <v>0</v>
      </c>
      <c r="K216" s="14">
        <v>0</v>
      </c>
      <c r="L216" s="1">
        <f>VLOOKUP(I216,AssyList[#All],3,FALSE)</f>
        <v>5</v>
      </c>
      <c r="N216" s="14">
        <f t="shared" si="25"/>
        <v>0</v>
      </c>
      <c r="O216" s="1">
        <f t="shared" si="26"/>
        <v>0</v>
      </c>
      <c r="Q216" s="1">
        <f>MATCH($B$1,AssyMatrix[[#All],[Model '#]],0)</f>
        <v>9</v>
      </c>
      <c r="R216" s="1">
        <f>MATCH(I216,AssyMatrix[#Headers],0)</f>
        <v>93</v>
      </c>
    </row>
    <row r="217" spans="1:18" x14ac:dyDescent="0.3">
      <c r="B217" s="1">
        <v>11</v>
      </c>
      <c r="C217" s="1" t="str">
        <f>IF($O$218=0,"n/a","G8")</f>
        <v>G8</v>
      </c>
      <c r="D217" s="1">
        <f>VLOOKUP(C217,GradeCharge[#All],2,FALSE)</f>
        <v>235</v>
      </c>
      <c r="E217" s="1">
        <f t="shared" si="16"/>
        <v>2173.75</v>
      </c>
      <c r="I217" s="1" t="s">
        <v>665</v>
      </c>
      <c r="J217" s="1">
        <f>INDEX(AssyMatrix[#All],Q217,R217)</f>
        <v>0</v>
      </c>
      <c r="K217" s="14">
        <v>0</v>
      </c>
      <c r="L217" s="1">
        <f>VLOOKUP(I217,AssyList[#All],3,FALSE)</f>
        <v>5.25</v>
      </c>
      <c r="N217" s="14">
        <f t="shared" si="25"/>
        <v>0</v>
      </c>
      <c r="O217" s="1">
        <f t="shared" si="26"/>
        <v>0</v>
      </c>
      <c r="Q217" s="1">
        <f>MATCH($B$1,AssyMatrix[[#All],[Model '#]],0)</f>
        <v>9</v>
      </c>
      <c r="R217" s="1">
        <f>MATCH(I217,AssyMatrix[#Headers],0)</f>
        <v>97</v>
      </c>
    </row>
    <row r="218" spans="1:18" x14ac:dyDescent="0.3">
      <c r="B218" s="1">
        <v>12</v>
      </c>
      <c r="C218" s="1" t="str">
        <f>IF($O$218=0,"n/a","G8+")</f>
        <v>G8+</v>
      </c>
      <c r="D218" s="1">
        <f>VLOOKUP(C218,GradeCharge[#All],2,FALSE)</f>
        <v>0</v>
      </c>
      <c r="E218" s="1">
        <f t="shared" si="16"/>
        <v>0</v>
      </c>
      <c r="I218" s="4" t="s">
        <v>125</v>
      </c>
      <c r="J218" s="4"/>
      <c r="K218" s="17"/>
      <c r="L218" s="4"/>
      <c r="M218" s="93"/>
      <c r="N218" s="91">
        <f t="shared" ref="N218:O218" si="27">SUM(N204:N217)</f>
        <v>0</v>
      </c>
      <c r="O218" s="91">
        <f t="shared" si="27"/>
        <v>9.25</v>
      </c>
      <c r="P218" s="3"/>
      <c r="Q218" s="4"/>
      <c r="R218" s="4"/>
    </row>
    <row r="219" spans="1:18" x14ac:dyDescent="0.3">
      <c r="I219" s="9"/>
    </row>
    <row r="220" spans="1:18" s="6" customFormat="1" x14ac:dyDescent="0.3">
      <c r="I220" s="11"/>
      <c r="K220" s="19"/>
      <c r="N220" s="19"/>
    </row>
    <row r="221" spans="1:18" x14ac:dyDescent="0.3">
      <c r="I221" s="9"/>
    </row>
    <row r="222" spans="1:18" x14ac:dyDescent="0.3">
      <c r="A222" s="75" t="s">
        <v>236</v>
      </c>
      <c r="D222" s="55">
        <f>N231+D223</f>
        <v>414</v>
      </c>
      <c r="I222" s="6" t="s">
        <v>106</v>
      </c>
      <c r="J222" s="6" t="s">
        <v>107</v>
      </c>
      <c r="K222" s="19" t="s">
        <v>109</v>
      </c>
      <c r="L222" s="6" t="s">
        <v>105</v>
      </c>
      <c r="N222" s="19" t="s">
        <v>124</v>
      </c>
      <c r="O222" s="6" t="s">
        <v>108</v>
      </c>
      <c r="Q222" s="6" t="s">
        <v>120</v>
      </c>
      <c r="R222" s="6" t="s">
        <v>121</v>
      </c>
    </row>
    <row r="223" spans="1:18" x14ac:dyDescent="0.3">
      <c r="A223" s="5" t="s">
        <v>123</v>
      </c>
      <c r="D223" s="55">
        <f>INDEX(B226:E237,C350,4)</f>
        <v>414</v>
      </c>
      <c r="I223" s="1" t="s">
        <v>202</v>
      </c>
      <c r="J223" s="1">
        <f>INDEX(AssyMatrix[#All],Q223,R223)</f>
        <v>2</v>
      </c>
      <c r="K223" s="14">
        <v>0</v>
      </c>
      <c r="L223" s="1">
        <f>VLOOKUP(I223,AssyList[#All],3,FALSE)</f>
        <v>1</v>
      </c>
      <c r="N223" s="14">
        <f t="shared" ref="N223:N228" si="28">J223*K223</f>
        <v>0</v>
      </c>
      <c r="O223" s="1">
        <f t="shared" ref="O223:O228" si="29">J223*L223</f>
        <v>2</v>
      </c>
      <c r="Q223" s="1">
        <f>MATCH($B$1,AssyMatrix[[#All],[Model '#]],0)</f>
        <v>9</v>
      </c>
      <c r="R223" s="1">
        <f>MATCH(I223,AssyMatrix[#Headers],0)</f>
        <v>4</v>
      </c>
    </row>
    <row r="224" spans="1:18" x14ac:dyDescent="0.3">
      <c r="A224" s="5"/>
      <c r="I224" s="1" t="s">
        <v>206</v>
      </c>
      <c r="J224" s="1">
        <f>INDEX(AssyMatrix[#All],Q224,R224)</f>
        <v>0</v>
      </c>
      <c r="K224" s="14">
        <v>0</v>
      </c>
      <c r="L224" s="1">
        <f>VLOOKUP(I224,AssyList[#All],3,FALSE)</f>
        <v>1.5</v>
      </c>
      <c r="N224" s="14">
        <f t="shared" si="28"/>
        <v>0</v>
      </c>
      <c r="O224" s="1">
        <f t="shared" si="29"/>
        <v>0</v>
      </c>
      <c r="Q224" s="1">
        <f>MATCH($B$1,AssyMatrix[[#All],[Model '#]],0)</f>
        <v>9</v>
      </c>
      <c r="R224" s="1">
        <f>MATCH(I224,AssyMatrix[#Headers],0)</f>
        <v>10</v>
      </c>
    </row>
    <row r="225" spans="1:18" x14ac:dyDescent="0.3">
      <c r="B225" s="1" t="s">
        <v>128</v>
      </c>
      <c r="C225" s="1" t="s">
        <v>103</v>
      </c>
      <c r="D225" s="1" t="s">
        <v>119</v>
      </c>
      <c r="E225" s="1" t="s">
        <v>122</v>
      </c>
      <c r="I225" s="1" t="s">
        <v>210</v>
      </c>
      <c r="J225" s="1">
        <f>INDEX(AssyMatrix[#All],Q225,R225)</f>
        <v>0</v>
      </c>
      <c r="K225" s="14">
        <v>0</v>
      </c>
      <c r="L225" s="1">
        <f>VLOOKUP(I225,AssyList[#All],3,FALSE)</f>
        <v>1.75</v>
      </c>
      <c r="N225" s="14">
        <f t="shared" si="28"/>
        <v>0</v>
      </c>
      <c r="O225" s="1">
        <f t="shared" si="29"/>
        <v>0</v>
      </c>
      <c r="Q225" s="1">
        <f>MATCH($B$1,AssyMatrix[[#All],[Model '#]],0)</f>
        <v>9</v>
      </c>
      <c r="R225" s="1">
        <f>MATCH(I225,AssyMatrix[#Headers],0)</f>
        <v>15</v>
      </c>
    </row>
    <row r="226" spans="1:18" x14ac:dyDescent="0.3">
      <c r="B226" s="1">
        <v>1</v>
      </c>
      <c r="C226" s="1" t="str">
        <f>IF($O$231=0,"n/a","COM")</f>
        <v>COM</v>
      </c>
      <c r="D226" s="1">
        <f>VLOOKUP(C226,GradeCharge[#All],2,FALSE)</f>
        <v>0</v>
      </c>
      <c r="E226" s="1">
        <f>D226*$O$231</f>
        <v>0</v>
      </c>
      <c r="I226" s="1" t="s">
        <v>214</v>
      </c>
      <c r="J226" s="1">
        <f>INDEX(AssyMatrix[#All],Q226,R226)</f>
        <v>0</v>
      </c>
      <c r="K226" s="14">
        <v>0</v>
      </c>
      <c r="L226" s="1">
        <f>VLOOKUP(I226,AssyList[#All],3,FALSE)</f>
        <v>2</v>
      </c>
      <c r="N226" s="14">
        <f t="shared" si="28"/>
        <v>0</v>
      </c>
      <c r="O226" s="1">
        <f t="shared" si="29"/>
        <v>0</v>
      </c>
      <c r="Q226" s="1">
        <f>MATCH($B$1,AssyMatrix[[#All],[Model '#]],0)</f>
        <v>9</v>
      </c>
      <c r="R226" s="1">
        <f>MATCH(I226,AssyMatrix[#Headers],0)</f>
        <v>21</v>
      </c>
    </row>
    <row r="227" spans="1:18" x14ac:dyDescent="0.3">
      <c r="B227" s="1">
        <v>2</v>
      </c>
      <c r="C227" s="1" t="str">
        <f>IF($O$231=0,"n/a","COL")</f>
        <v>COL</v>
      </c>
      <c r="D227" s="1">
        <f>VLOOKUP(C227,GradeCharge[#All],2,FALSE)</f>
        <v>104</v>
      </c>
      <c r="E227" s="1">
        <f t="shared" ref="E227:E237" si="30">D227*$O$231</f>
        <v>208</v>
      </c>
      <c r="I227" s="1" t="s">
        <v>446</v>
      </c>
      <c r="J227" s="1">
        <f>INDEX(AssyMatrix[#All],Q227,R227)</f>
        <v>0</v>
      </c>
      <c r="K227" s="14">
        <v>0</v>
      </c>
      <c r="L227" s="1">
        <f>VLOOKUP(I227,AssyList[#All],3,FALSE)</f>
        <v>1</v>
      </c>
      <c r="N227" s="14">
        <f t="shared" si="28"/>
        <v>0</v>
      </c>
      <c r="O227" s="1">
        <f t="shared" si="29"/>
        <v>0</v>
      </c>
      <c r="Q227" s="1">
        <f>MATCH($B$1,AssyMatrix[[#All],[Model '#]],0)</f>
        <v>9</v>
      </c>
      <c r="R227" s="1">
        <f>MATCH(I227,AssyMatrix[#Headers],0)</f>
        <v>26</v>
      </c>
    </row>
    <row r="228" spans="1:18" x14ac:dyDescent="0.3">
      <c r="B228" s="1">
        <v>3</v>
      </c>
      <c r="C228" s="1" t="str">
        <f>IF($O$231=0,"n/a","GA")</f>
        <v>GA</v>
      </c>
      <c r="D228" s="1">
        <f>VLOOKUP(C228,GradeCharge[#All],2,FALSE)</f>
        <v>38</v>
      </c>
      <c r="E228" s="1">
        <f t="shared" si="30"/>
        <v>76</v>
      </c>
      <c r="I228" s="1" t="s">
        <v>570</v>
      </c>
      <c r="J228" s="1">
        <f>INDEX(AssyMatrix[#All],Q228,R228)</f>
        <v>0</v>
      </c>
      <c r="K228" s="14">
        <v>0</v>
      </c>
      <c r="L228" s="1">
        <f>VLOOKUP(I228,AssyList[#All],3,FALSE)</f>
        <v>1</v>
      </c>
      <c r="N228" s="14">
        <f t="shared" si="28"/>
        <v>0</v>
      </c>
      <c r="O228" s="1">
        <f t="shared" si="29"/>
        <v>0</v>
      </c>
      <c r="Q228" s="1">
        <f>MATCH($B$1,AssyMatrix[[#All],[Model '#]],0)</f>
        <v>9</v>
      </c>
      <c r="R228" s="1">
        <f>MATCH(I228,AssyMatrix[#Headers],0)</f>
        <v>75</v>
      </c>
    </row>
    <row r="229" spans="1:18" x14ac:dyDescent="0.3">
      <c r="B229" s="1">
        <v>4</v>
      </c>
      <c r="C229" s="1" t="str">
        <f>IF($O$231=0,"n/a","G1")</f>
        <v>G1</v>
      </c>
      <c r="D229" s="1">
        <f>VLOOKUP(C229,GradeCharge[#All],2,FALSE)</f>
        <v>63</v>
      </c>
      <c r="E229" s="1">
        <f t="shared" si="30"/>
        <v>126</v>
      </c>
      <c r="I229" s="1" t="s">
        <v>618</v>
      </c>
      <c r="J229" s="1">
        <f>INDEX(AssyMatrix[#All],Q229,R229)</f>
        <v>0</v>
      </c>
      <c r="K229" s="14">
        <v>0</v>
      </c>
      <c r="L229" s="1">
        <f>VLOOKUP(I229,AssyList[#All],3,FALSE)</f>
        <v>1.75</v>
      </c>
      <c r="N229" s="14">
        <f t="shared" ref="N229:N230" si="31">J229*K229</f>
        <v>0</v>
      </c>
      <c r="O229" s="1">
        <f t="shared" ref="O229:O230" si="32">J229*L229</f>
        <v>0</v>
      </c>
      <c r="Q229" s="1">
        <f>MATCH($B$1,AssyMatrix[[#All],[Model '#]],0)</f>
        <v>9</v>
      </c>
      <c r="R229" s="1">
        <f>MATCH(I229,AssyMatrix[#Headers],0)</f>
        <v>85</v>
      </c>
    </row>
    <row r="230" spans="1:18" x14ac:dyDescent="0.3">
      <c r="B230" s="1">
        <v>5</v>
      </c>
      <c r="C230" s="1" t="str">
        <f>IF($O$231=0,"n/a","G2")</f>
        <v>G2</v>
      </c>
      <c r="D230" s="1">
        <f>VLOOKUP(C230,GradeCharge[#All],2,FALSE)</f>
        <v>78</v>
      </c>
      <c r="E230" s="1">
        <f t="shared" si="30"/>
        <v>156</v>
      </c>
      <c r="I230" s="1" t="s">
        <v>625</v>
      </c>
      <c r="J230" s="1">
        <f>INDEX(AssyMatrix[#All],Q230,R230)</f>
        <v>0</v>
      </c>
      <c r="K230" s="14">
        <v>0</v>
      </c>
      <c r="L230" s="1">
        <f>VLOOKUP(I230,AssyList[#All],3,FALSE)</f>
        <v>2</v>
      </c>
      <c r="N230" s="14">
        <f t="shared" si="31"/>
        <v>0</v>
      </c>
      <c r="O230" s="1">
        <f t="shared" si="32"/>
        <v>0</v>
      </c>
      <c r="Q230" s="1">
        <f>MATCH($B$1,AssyMatrix[[#All],[Model '#]],0)</f>
        <v>9</v>
      </c>
      <c r="R230" s="1">
        <f>MATCH(I230,AssyMatrix[#Headers],0)</f>
        <v>92</v>
      </c>
    </row>
    <row r="231" spans="1:18" x14ac:dyDescent="0.3">
      <c r="B231" s="1">
        <v>6</v>
      </c>
      <c r="C231" s="1" t="str">
        <f>IF($O$231=0,"n/a","G3")</f>
        <v>G3</v>
      </c>
      <c r="D231" s="1">
        <f>VLOOKUP(C231,GradeCharge[#All],2,FALSE)</f>
        <v>104</v>
      </c>
      <c r="E231" s="1">
        <f t="shared" si="30"/>
        <v>208</v>
      </c>
      <c r="I231" s="4" t="s">
        <v>125</v>
      </c>
      <c r="J231" s="4"/>
      <c r="K231" s="17"/>
      <c r="L231" s="4"/>
      <c r="M231" s="3"/>
      <c r="N231" s="91">
        <f t="shared" ref="N231:O231" si="33">SUM(N223:N230)</f>
        <v>0</v>
      </c>
      <c r="O231" s="91">
        <f t="shared" si="33"/>
        <v>2</v>
      </c>
      <c r="P231" s="3"/>
      <c r="Q231" s="4"/>
      <c r="R231" s="4"/>
    </row>
    <row r="232" spans="1:18" x14ac:dyDescent="0.3">
      <c r="B232" s="1">
        <v>7</v>
      </c>
      <c r="C232" s="1" t="str">
        <f>IF($O$231=0,"n/a","G4")</f>
        <v>G4</v>
      </c>
      <c r="D232" s="1">
        <f>VLOOKUP(C232,GradeCharge[#All],2,FALSE)</f>
        <v>132</v>
      </c>
      <c r="E232" s="1">
        <f t="shared" si="30"/>
        <v>264</v>
      </c>
    </row>
    <row r="233" spans="1:18" x14ac:dyDescent="0.3">
      <c r="B233" s="1">
        <v>8</v>
      </c>
      <c r="C233" s="1" t="str">
        <f>IF($O$231=0,"n/a","G5")</f>
        <v>G5</v>
      </c>
      <c r="D233" s="1">
        <f>VLOOKUP(C233,GradeCharge[#All],2,FALSE)</f>
        <v>157</v>
      </c>
      <c r="E233" s="1">
        <f t="shared" si="30"/>
        <v>314</v>
      </c>
      <c r="M233" s="3"/>
      <c r="P233" s="3"/>
    </row>
    <row r="234" spans="1:18" x14ac:dyDescent="0.3">
      <c r="B234" s="1">
        <v>9</v>
      </c>
      <c r="C234" s="1" t="str">
        <f>IF($O$231=0,"n/a","G6")</f>
        <v>G6</v>
      </c>
      <c r="D234" s="1">
        <f>VLOOKUP(C234,GradeCharge[#All],2,FALSE)</f>
        <v>183</v>
      </c>
      <c r="E234" s="1">
        <f t="shared" si="30"/>
        <v>366</v>
      </c>
    </row>
    <row r="235" spans="1:18" x14ac:dyDescent="0.3">
      <c r="B235" s="1">
        <v>10</v>
      </c>
      <c r="C235" s="1" t="str">
        <f>IF($O$231=0,"n/a","G7")</f>
        <v>G7</v>
      </c>
      <c r="D235" s="1">
        <f>VLOOKUP(C235,GradeCharge[#All],2,FALSE)</f>
        <v>207</v>
      </c>
      <c r="E235" s="1">
        <f t="shared" si="30"/>
        <v>414</v>
      </c>
    </row>
    <row r="236" spans="1:18" x14ac:dyDescent="0.3">
      <c r="B236" s="1">
        <v>11</v>
      </c>
      <c r="C236" s="1" t="str">
        <f>IF($O$231=0,"n/a","G8")</f>
        <v>G8</v>
      </c>
      <c r="D236" s="1">
        <f>VLOOKUP(C236,GradeCharge[#All],2,FALSE)</f>
        <v>235</v>
      </c>
      <c r="E236" s="1">
        <f t="shared" si="30"/>
        <v>470</v>
      </c>
      <c r="I236" s="9"/>
    </row>
    <row r="237" spans="1:18" x14ac:dyDescent="0.3">
      <c r="B237" s="1">
        <v>12</v>
      </c>
      <c r="C237" s="1" t="str">
        <f>IF($O$231=0,"n/a","G8+")</f>
        <v>G8+</v>
      </c>
      <c r="D237" s="1">
        <f>VLOOKUP(C237,GradeCharge[#All],2,FALSE)</f>
        <v>0</v>
      </c>
      <c r="E237" s="1">
        <f t="shared" si="30"/>
        <v>0</v>
      </c>
      <c r="I237" s="9"/>
    </row>
    <row r="238" spans="1:18" x14ac:dyDescent="0.3">
      <c r="I238" s="9"/>
    </row>
    <row r="239" spans="1:18" s="6" customFormat="1" x14ac:dyDescent="0.3">
      <c r="A239" s="12"/>
      <c r="I239" s="11"/>
      <c r="K239" s="19"/>
      <c r="N239" s="19"/>
    </row>
    <row r="240" spans="1:18" x14ac:dyDescent="0.3">
      <c r="I240" s="9"/>
    </row>
    <row r="241" spans="1:18" x14ac:dyDescent="0.3">
      <c r="A241" s="75" t="s">
        <v>238</v>
      </c>
      <c r="D241" s="55">
        <f>N248+D242</f>
        <v>414</v>
      </c>
      <c r="I241" s="6" t="s">
        <v>106</v>
      </c>
      <c r="J241" s="6" t="s">
        <v>107</v>
      </c>
      <c r="K241" s="19" t="s">
        <v>109</v>
      </c>
      <c r="L241" s="6" t="s">
        <v>105</v>
      </c>
      <c r="N241" s="19" t="s">
        <v>124</v>
      </c>
      <c r="O241" s="6" t="s">
        <v>108</v>
      </c>
      <c r="Q241" s="6" t="s">
        <v>120</v>
      </c>
      <c r="R241" s="6" t="s">
        <v>121</v>
      </c>
    </row>
    <row r="242" spans="1:18" x14ac:dyDescent="0.3">
      <c r="A242" s="5" t="s">
        <v>123</v>
      </c>
      <c r="D242" s="55">
        <f>INDEX(B245:E256,C351,4)</f>
        <v>414</v>
      </c>
      <c r="I242" s="1" t="s">
        <v>203</v>
      </c>
      <c r="J242" s="1">
        <f>INDEX(AssyMatrix[#All],Q242,R242)</f>
        <v>2</v>
      </c>
      <c r="K242" s="14">
        <v>0</v>
      </c>
      <c r="L242" s="1">
        <f>VLOOKUP(I242,AssyList[#All],3,FALSE)</f>
        <v>1</v>
      </c>
      <c r="N242" s="14">
        <f>J242*K242</f>
        <v>0</v>
      </c>
      <c r="O242" s="1">
        <f>J242*L242</f>
        <v>2</v>
      </c>
      <c r="Q242" s="1">
        <f>MATCH($B$1,AssyMatrix[[#All],[Model '#]],0)</f>
        <v>9</v>
      </c>
      <c r="R242" s="1">
        <f>MATCH(I242,AssyMatrix[#Headers],0)</f>
        <v>5</v>
      </c>
    </row>
    <row r="243" spans="1:18" x14ac:dyDescent="0.3">
      <c r="A243" s="5"/>
      <c r="I243" s="1" t="s">
        <v>207</v>
      </c>
      <c r="J243" s="1">
        <f>INDEX(AssyMatrix[#All],Q243,R243)</f>
        <v>0</v>
      </c>
      <c r="K243" s="14">
        <v>0</v>
      </c>
      <c r="L243" s="1">
        <f>VLOOKUP(I243,AssyList[#All],3,FALSE)</f>
        <v>1.75</v>
      </c>
      <c r="N243" s="14">
        <f>J243*K243</f>
        <v>0</v>
      </c>
      <c r="O243" s="1">
        <f>J243*L243</f>
        <v>0</v>
      </c>
      <c r="Q243" s="1">
        <f>MATCH($B$1,AssyMatrix[[#All],[Model '#]],0)</f>
        <v>9</v>
      </c>
      <c r="R243" s="1">
        <f>MATCH(I243,AssyMatrix[#Headers],0)</f>
        <v>11</v>
      </c>
    </row>
    <row r="244" spans="1:18" x14ac:dyDescent="0.3">
      <c r="B244" s="1" t="s">
        <v>128</v>
      </c>
      <c r="C244" s="1" t="s">
        <v>103</v>
      </c>
      <c r="D244" s="1" t="s">
        <v>119</v>
      </c>
      <c r="E244" s="1" t="s">
        <v>122</v>
      </c>
      <c r="I244" s="1" t="s">
        <v>211</v>
      </c>
      <c r="J244" s="1">
        <f>INDEX(AssyMatrix[#All],Q244,R244)</f>
        <v>0</v>
      </c>
      <c r="K244" s="14">
        <v>0</v>
      </c>
      <c r="L244" s="1">
        <f>VLOOKUP(I244,AssyList[#All],3,FALSE)</f>
        <v>1.75</v>
      </c>
      <c r="N244" s="14">
        <f>J244*K244</f>
        <v>0</v>
      </c>
      <c r="O244" s="1">
        <f>J244*L244</f>
        <v>0</v>
      </c>
      <c r="Q244" s="1">
        <f>MATCH($B$1,AssyMatrix[[#All],[Model '#]],0)</f>
        <v>9</v>
      </c>
      <c r="R244" s="1">
        <f>MATCH(I244,AssyMatrix[#Headers],0)</f>
        <v>16</v>
      </c>
    </row>
    <row r="245" spans="1:18" x14ac:dyDescent="0.3">
      <c r="B245" s="1">
        <v>1</v>
      </c>
      <c r="C245" s="1" t="str">
        <f>IF($O$248=0,"n/a","COM")</f>
        <v>COM</v>
      </c>
      <c r="D245" s="1">
        <f>VLOOKUP(C245,GradeCharge[#All],2,FALSE)</f>
        <v>0</v>
      </c>
      <c r="E245" s="1">
        <f>D245*$O$248</f>
        <v>0</v>
      </c>
      <c r="I245" s="1" t="s">
        <v>215</v>
      </c>
      <c r="J245" s="1">
        <f>INDEX(AssyMatrix[#All],Q245,R245)</f>
        <v>0</v>
      </c>
      <c r="K245" s="14">
        <v>0</v>
      </c>
      <c r="L245" s="1">
        <f>VLOOKUP(I245,AssyList[#All],3,FALSE)</f>
        <v>2</v>
      </c>
      <c r="N245" s="14">
        <f>J245*K245</f>
        <v>0</v>
      </c>
      <c r="O245" s="1">
        <f>J245*L245</f>
        <v>0</v>
      </c>
      <c r="Q245" s="1">
        <f>MATCH($B$1,AssyMatrix[[#All],[Model '#]],0)</f>
        <v>9</v>
      </c>
      <c r="R245" s="1">
        <f>MATCH(I245,AssyMatrix[#Headers],0)</f>
        <v>22</v>
      </c>
    </row>
    <row r="246" spans="1:18" x14ac:dyDescent="0.3">
      <c r="B246" s="1">
        <v>2</v>
      </c>
      <c r="C246" s="1" t="str">
        <f>IF($O$248=0,"n/a","COL")</f>
        <v>COL</v>
      </c>
      <c r="D246" s="1">
        <f>VLOOKUP(C246,GradeCharge[#All],2,FALSE)</f>
        <v>104</v>
      </c>
      <c r="E246" s="1">
        <f t="shared" ref="E246" si="34">D246*$O$248</f>
        <v>208</v>
      </c>
      <c r="I246" s="1" t="s">
        <v>631</v>
      </c>
      <c r="J246" s="1">
        <f>INDEX(AssyMatrix[#All],Q246,R246)</f>
        <v>0</v>
      </c>
      <c r="K246" s="14">
        <v>0</v>
      </c>
      <c r="L246" s="1">
        <f>VLOOKUP(I246,AssyList[#All],3,FALSE)</f>
        <v>1.75</v>
      </c>
      <c r="N246" s="14">
        <f t="shared" ref="N246:N247" si="35">J246*K246</f>
        <v>0</v>
      </c>
      <c r="O246" s="1">
        <f t="shared" ref="O246:O247" si="36">J246*L246</f>
        <v>0</v>
      </c>
      <c r="Q246" s="1">
        <f>MATCH($B$1,AssyMatrix[[#All],[Model '#]],0)</f>
        <v>9</v>
      </c>
      <c r="R246" s="1">
        <f>MATCH(I246,AssyMatrix[#Headers],0)</f>
        <v>88</v>
      </c>
    </row>
    <row r="247" spans="1:18" x14ac:dyDescent="0.3">
      <c r="B247" s="1">
        <v>3</v>
      </c>
      <c r="C247" s="1" t="str">
        <f>IF($O$248=0,"n/a","GA")</f>
        <v>GA</v>
      </c>
      <c r="D247" s="1">
        <f>VLOOKUP(C247,GradeCharge[#All],2,FALSE)</f>
        <v>38</v>
      </c>
      <c r="E247" s="1">
        <f t="shared" ref="E247" si="37">D247*$O$248</f>
        <v>76</v>
      </c>
      <c r="I247" s="1" t="s">
        <v>636</v>
      </c>
      <c r="J247" s="1">
        <f>INDEX(AssyMatrix[#All],Q247,R247)</f>
        <v>0</v>
      </c>
      <c r="K247" s="14">
        <v>0</v>
      </c>
      <c r="L247" s="1">
        <f>VLOOKUP(I247,AssyList[#All],3,FALSE)</f>
        <v>2</v>
      </c>
      <c r="N247" s="14">
        <f t="shared" si="35"/>
        <v>0</v>
      </c>
      <c r="O247" s="1">
        <f t="shared" si="36"/>
        <v>0</v>
      </c>
      <c r="Q247" s="1">
        <f>MATCH($B$1,AssyMatrix[[#All],[Model '#]],0)</f>
        <v>9</v>
      </c>
      <c r="R247" s="1">
        <f>MATCH(I247,AssyMatrix[#Headers],0)</f>
        <v>95</v>
      </c>
    </row>
    <row r="248" spans="1:18" x14ac:dyDescent="0.3">
      <c r="B248" s="1">
        <v>4</v>
      </c>
      <c r="C248" s="1" t="str">
        <f>IF($O$248=0,"n/a","G1")</f>
        <v>G1</v>
      </c>
      <c r="D248" s="1">
        <f>VLOOKUP(C248,GradeCharge[#All],2,FALSE)</f>
        <v>63</v>
      </c>
      <c r="E248" s="1">
        <f t="shared" ref="E248:E256" si="38">D248*$O$248</f>
        <v>126</v>
      </c>
      <c r="I248" s="4" t="s">
        <v>125</v>
      </c>
      <c r="J248" s="4"/>
      <c r="K248" s="17"/>
      <c r="L248" s="4"/>
      <c r="M248" s="3"/>
      <c r="N248" s="91">
        <f t="shared" ref="N248:O248" si="39">SUM(N242:N247)</f>
        <v>0</v>
      </c>
      <c r="O248" s="91">
        <f t="shared" si="39"/>
        <v>2</v>
      </c>
      <c r="P248" s="3"/>
      <c r="Q248" s="4"/>
      <c r="R248" s="4"/>
    </row>
    <row r="249" spans="1:18" x14ac:dyDescent="0.3">
      <c r="B249" s="1">
        <v>5</v>
      </c>
      <c r="C249" s="1" t="str">
        <f>IF($O$248=0,"n/a","G2")</f>
        <v>G2</v>
      </c>
      <c r="D249" s="1">
        <f>VLOOKUP(C249,GradeCharge[#All],2,FALSE)</f>
        <v>78</v>
      </c>
      <c r="E249" s="1">
        <f t="shared" si="38"/>
        <v>156</v>
      </c>
      <c r="M249" s="3"/>
      <c r="P249" s="3"/>
    </row>
    <row r="250" spans="1:18" x14ac:dyDescent="0.3">
      <c r="B250" s="1">
        <v>6</v>
      </c>
      <c r="C250" s="1" t="str">
        <f>IF($O$248=0,"n/a","G3")</f>
        <v>G3</v>
      </c>
      <c r="D250" s="1">
        <f>VLOOKUP(C250,GradeCharge[#All],2,FALSE)</f>
        <v>104</v>
      </c>
      <c r="E250" s="1">
        <f t="shared" si="38"/>
        <v>208</v>
      </c>
    </row>
    <row r="251" spans="1:18" x14ac:dyDescent="0.3">
      <c r="B251" s="1">
        <v>7</v>
      </c>
      <c r="C251" s="1" t="str">
        <f>IF($O$248=0,"n/a","G4")</f>
        <v>G4</v>
      </c>
      <c r="D251" s="1">
        <f>VLOOKUP(C251,GradeCharge[#All],2,FALSE)</f>
        <v>132</v>
      </c>
      <c r="E251" s="1">
        <f t="shared" si="38"/>
        <v>264</v>
      </c>
      <c r="M251" s="3"/>
      <c r="P251" s="3"/>
    </row>
    <row r="252" spans="1:18" x14ac:dyDescent="0.3">
      <c r="B252" s="1">
        <v>8</v>
      </c>
      <c r="C252" s="1" t="str">
        <f>IF($O$248=0,"n/a","G5")</f>
        <v>G5</v>
      </c>
      <c r="D252" s="1">
        <f>VLOOKUP(C252,GradeCharge[#All],2,FALSE)</f>
        <v>157</v>
      </c>
      <c r="E252" s="1">
        <f t="shared" si="38"/>
        <v>314</v>
      </c>
    </row>
    <row r="253" spans="1:18" x14ac:dyDescent="0.3">
      <c r="B253" s="1">
        <v>9</v>
      </c>
      <c r="C253" s="1" t="str">
        <f>IF($O$248=0,"n/a","G6")</f>
        <v>G6</v>
      </c>
      <c r="D253" s="1">
        <f>VLOOKUP(C253,GradeCharge[#All],2,FALSE)</f>
        <v>183</v>
      </c>
      <c r="E253" s="1">
        <f t="shared" si="38"/>
        <v>366</v>
      </c>
    </row>
    <row r="254" spans="1:18" x14ac:dyDescent="0.3">
      <c r="B254" s="1">
        <v>10</v>
      </c>
      <c r="C254" s="1" t="str">
        <f>IF($O$248=0,"n/a","G7")</f>
        <v>G7</v>
      </c>
      <c r="D254" s="1">
        <f>VLOOKUP(C254,GradeCharge[#All],2,FALSE)</f>
        <v>207</v>
      </c>
      <c r="E254" s="1">
        <f t="shared" si="38"/>
        <v>414</v>
      </c>
    </row>
    <row r="255" spans="1:18" x14ac:dyDescent="0.3">
      <c r="B255" s="1">
        <v>11</v>
      </c>
      <c r="C255" s="1" t="str">
        <f>IF($O$248=0,"n/a","G8")</f>
        <v>G8</v>
      </c>
      <c r="D255" s="1">
        <f>VLOOKUP(C255,GradeCharge[#All],2,FALSE)</f>
        <v>235</v>
      </c>
      <c r="E255" s="1">
        <f t="shared" si="38"/>
        <v>470</v>
      </c>
    </row>
    <row r="256" spans="1:18" x14ac:dyDescent="0.3">
      <c r="B256" s="1">
        <v>12</v>
      </c>
      <c r="C256" s="1" t="str">
        <f>IF($O$248=0,"n/a","G8+")</f>
        <v>G8+</v>
      </c>
      <c r="D256" s="1">
        <f>VLOOKUP(C256,GradeCharge[#All],2,FALSE)</f>
        <v>0</v>
      </c>
      <c r="E256" s="1">
        <f t="shared" si="38"/>
        <v>0</v>
      </c>
      <c r="I256" s="9"/>
    </row>
    <row r="257" spans="1:18" x14ac:dyDescent="0.3">
      <c r="I257" s="9"/>
    </row>
    <row r="258" spans="1:18" s="6" customFormat="1" x14ac:dyDescent="0.3">
      <c r="I258" s="11"/>
      <c r="K258" s="19"/>
      <c r="N258" s="19"/>
    </row>
    <row r="259" spans="1:18" x14ac:dyDescent="0.3">
      <c r="I259" s="9"/>
    </row>
    <row r="260" spans="1:18" x14ac:dyDescent="0.3">
      <c r="A260" s="75" t="s">
        <v>239</v>
      </c>
      <c r="D260" s="55">
        <f>N267+D261</f>
        <v>414</v>
      </c>
      <c r="I260" s="6" t="s">
        <v>106</v>
      </c>
      <c r="J260" s="6" t="s">
        <v>107</v>
      </c>
      <c r="K260" s="19" t="s">
        <v>109</v>
      </c>
      <c r="L260" s="6" t="s">
        <v>105</v>
      </c>
      <c r="N260" s="19" t="s">
        <v>124</v>
      </c>
      <c r="O260" s="6" t="s">
        <v>108</v>
      </c>
      <c r="Q260" s="6" t="s">
        <v>120</v>
      </c>
      <c r="R260" s="6" t="s">
        <v>121</v>
      </c>
    </row>
    <row r="261" spans="1:18" x14ac:dyDescent="0.3">
      <c r="A261" s="5" t="s">
        <v>123</v>
      </c>
      <c r="D261" s="55">
        <f>INDEX(B264:E275,C352,4)</f>
        <v>414</v>
      </c>
      <c r="I261" s="1" t="s">
        <v>204</v>
      </c>
      <c r="J261" s="1">
        <f>INDEX(AssyMatrix[#All],Q261,R261)</f>
        <v>2</v>
      </c>
      <c r="K261" s="14">
        <v>0</v>
      </c>
      <c r="L261" s="1">
        <f>VLOOKUP(I261,AssyList[#All],3,FALSE)</f>
        <v>1</v>
      </c>
      <c r="N261" s="14">
        <f>J261*K261</f>
        <v>0</v>
      </c>
      <c r="O261" s="1">
        <f>J261*L261</f>
        <v>2</v>
      </c>
      <c r="Q261" s="1">
        <f>MATCH($B$1,AssyMatrix[[#All],[Model '#]],0)</f>
        <v>9</v>
      </c>
      <c r="R261" s="1">
        <f>MATCH(I261,AssyMatrix[#Headers],0)</f>
        <v>6</v>
      </c>
    </row>
    <row r="262" spans="1:18" x14ac:dyDescent="0.3">
      <c r="A262" s="5"/>
      <c r="I262" s="1" t="s">
        <v>208</v>
      </c>
      <c r="J262" s="1">
        <f>INDEX(AssyMatrix[#All],Q262,R262)</f>
        <v>0</v>
      </c>
      <c r="K262" s="14">
        <v>0</v>
      </c>
      <c r="L262" s="1">
        <f>VLOOKUP(I262,AssyList[#All],3,FALSE)</f>
        <v>1.75</v>
      </c>
      <c r="N262" s="14">
        <f>J262*K262</f>
        <v>0</v>
      </c>
      <c r="O262" s="1">
        <f>J262*L262</f>
        <v>0</v>
      </c>
      <c r="Q262" s="1">
        <f>MATCH($B$1,AssyMatrix[[#All],[Model '#]],0)</f>
        <v>9</v>
      </c>
      <c r="R262" s="1">
        <f>MATCH(I262,AssyMatrix[#Headers],0)</f>
        <v>12</v>
      </c>
    </row>
    <row r="263" spans="1:18" x14ac:dyDescent="0.3">
      <c r="B263" s="1" t="s">
        <v>128</v>
      </c>
      <c r="C263" s="1" t="s">
        <v>103</v>
      </c>
      <c r="D263" s="1" t="s">
        <v>119</v>
      </c>
      <c r="E263" s="1" t="s">
        <v>122</v>
      </c>
      <c r="I263" s="1" t="s">
        <v>212</v>
      </c>
      <c r="J263" s="1">
        <f>INDEX(AssyMatrix[#All],Q263,R263)</f>
        <v>0</v>
      </c>
      <c r="K263" s="14">
        <v>0</v>
      </c>
      <c r="L263" s="1">
        <f>VLOOKUP(I263,AssyList[#All],3,FALSE)</f>
        <v>1.75</v>
      </c>
      <c r="N263" s="14">
        <f>J263*K263</f>
        <v>0</v>
      </c>
      <c r="O263" s="1">
        <f>J263*L263</f>
        <v>0</v>
      </c>
      <c r="Q263" s="1">
        <f>MATCH($B$1,AssyMatrix[[#All],[Model '#]],0)</f>
        <v>9</v>
      </c>
      <c r="R263" s="1">
        <f>MATCH(I263,AssyMatrix[#Headers],0)</f>
        <v>17</v>
      </c>
    </row>
    <row r="264" spans="1:18" x14ac:dyDescent="0.3">
      <c r="B264" s="1">
        <v>1</v>
      </c>
      <c r="C264" s="1" t="str">
        <f>IF($O$267=0,"n/a","COM")</f>
        <v>COM</v>
      </c>
      <c r="D264" s="1">
        <f>VLOOKUP(C264,GradeCharge[#All],2,FALSE)</f>
        <v>0</v>
      </c>
      <c r="E264" s="1">
        <f>D264*$O$267</f>
        <v>0</v>
      </c>
      <c r="I264" s="1" t="s">
        <v>216</v>
      </c>
      <c r="J264" s="1">
        <f>INDEX(AssyMatrix[#All],Q264,R264)</f>
        <v>0</v>
      </c>
      <c r="K264" s="14">
        <v>0</v>
      </c>
      <c r="L264" s="1">
        <f>VLOOKUP(I264,AssyList[#All],3,FALSE)</f>
        <v>2</v>
      </c>
      <c r="N264" s="14">
        <f>J264*K264</f>
        <v>0</v>
      </c>
      <c r="O264" s="1">
        <f>J264*L264</f>
        <v>0</v>
      </c>
      <c r="Q264" s="1">
        <f>MATCH($B$1,AssyMatrix[[#All],[Model '#]],0)</f>
        <v>9</v>
      </c>
      <c r="R264" s="1">
        <f>MATCH(I264,AssyMatrix[#Headers],0)</f>
        <v>23</v>
      </c>
    </row>
    <row r="265" spans="1:18" x14ac:dyDescent="0.3">
      <c r="B265" s="1">
        <v>2</v>
      </c>
      <c r="C265" s="1" t="str">
        <f>IF($O$267=0,"n/a","COL")</f>
        <v>COL</v>
      </c>
      <c r="D265" s="1">
        <f>VLOOKUP(C265,GradeCharge[#All],2,FALSE)</f>
        <v>104</v>
      </c>
      <c r="E265" s="1">
        <f t="shared" ref="E265" si="40">D265*$O$267</f>
        <v>208</v>
      </c>
      <c r="I265" s="1" t="s">
        <v>630</v>
      </c>
      <c r="J265" s="1">
        <f>INDEX(AssyMatrix[#All],Q265,R265)</f>
        <v>0</v>
      </c>
      <c r="K265" s="14">
        <v>0</v>
      </c>
      <c r="L265" s="1">
        <f>VLOOKUP(I265,AssyList[#All],3,FALSE)</f>
        <v>1.75</v>
      </c>
      <c r="N265" s="14">
        <f t="shared" ref="N265:N266" si="41">J265*K265</f>
        <v>0</v>
      </c>
      <c r="O265" s="1">
        <f t="shared" ref="O265:O266" si="42">J265*L265</f>
        <v>0</v>
      </c>
      <c r="Q265" s="1">
        <f>MATCH($B$1,AssyMatrix[[#All],[Model '#]],0)</f>
        <v>9</v>
      </c>
      <c r="R265" s="1">
        <f>MATCH(I265,AssyMatrix[#Headers],0)</f>
        <v>87</v>
      </c>
    </row>
    <row r="266" spans="1:18" x14ac:dyDescent="0.3">
      <c r="B266" s="1">
        <v>3</v>
      </c>
      <c r="C266" s="1" t="str">
        <f>IF($O$267=0,"n/a","GA")</f>
        <v>GA</v>
      </c>
      <c r="D266" s="1">
        <f>VLOOKUP(C266,GradeCharge[#All],2,FALSE)</f>
        <v>38</v>
      </c>
      <c r="E266" s="1">
        <f t="shared" ref="E266" si="43">D266*$O$267</f>
        <v>76</v>
      </c>
      <c r="I266" s="1" t="s">
        <v>634</v>
      </c>
      <c r="J266" s="1">
        <f>INDEX(AssyMatrix[#All],Q266,R266)</f>
        <v>0</v>
      </c>
      <c r="K266" s="14">
        <v>0</v>
      </c>
      <c r="L266" s="1">
        <f>VLOOKUP(I266,AssyList[#All],3,FALSE)</f>
        <v>2</v>
      </c>
      <c r="N266" s="14">
        <f t="shared" si="41"/>
        <v>0</v>
      </c>
      <c r="O266" s="1">
        <f t="shared" si="42"/>
        <v>0</v>
      </c>
      <c r="Q266" s="1">
        <f>MATCH($B$1,AssyMatrix[[#All],[Model '#]],0)</f>
        <v>9</v>
      </c>
      <c r="R266" s="1">
        <f>MATCH(I266,AssyMatrix[#Headers],0)</f>
        <v>94</v>
      </c>
    </row>
    <row r="267" spans="1:18" x14ac:dyDescent="0.3">
      <c r="B267" s="1">
        <v>4</v>
      </c>
      <c r="C267" s="1" t="str">
        <f>IF($O$267=0,"n/a","G1")</f>
        <v>G1</v>
      </c>
      <c r="D267" s="1">
        <f>VLOOKUP(C267,GradeCharge[#All],2,FALSE)</f>
        <v>63</v>
      </c>
      <c r="E267" s="1">
        <f t="shared" ref="E267:E275" si="44">D267*$O$267</f>
        <v>126</v>
      </c>
      <c r="I267" s="4" t="s">
        <v>125</v>
      </c>
      <c r="J267" s="4"/>
      <c r="K267" s="17"/>
      <c r="L267" s="4"/>
      <c r="M267" s="3"/>
      <c r="N267" s="91">
        <f t="shared" ref="N267:O267" si="45">SUM(N261:N266)</f>
        <v>0</v>
      </c>
      <c r="O267" s="91">
        <f t="shared" si="45"/>
        <v>2</v>
      </c>
      <c r="P267" s="3"/>
      <c r="Q267" s="4"/>
      <c r="R267" s="4"/>
    </row>
    <row r="268" spans="1:18" x14ac:dyDescent="0.3">
      <c r="B268" s="1">
        <v>5</v>
      </c>
      <c r="C268" s="1" t="str">
        <f>IF($O$267=0,"n/a","G2")</f>
        <v>G2</v>
      </c>
      <c r="D268" s="1">
        <f>VLOOKUP(C268,GradeCharge[#All],2,FALSE)</f>
        <v>78</v>
      </c>
      <c r="E268" s="1">
        <f t="shared" si="44"/>
        <v>156</v>
      </c>
      <c r="M268" s="3"/>
      <c r="P268" s="3"/>
    </row>
    <row r="269" spans="1:18" x14ac:dyDescent="0.3">
      <c r="B269" s="1">
        <v>6</v>
      </c>
      <c r="C269" s="1" t="str">
        <f>IF($O$267=0,"n/a","G3")</f>
        <v>G3</v>
      </c>
      <c r="D269" s="1">
        <f>VLOOKUP(C269,GradeCharge[#All],2,FALSE)</f>
        <v>104</v>
      </c>
      <c r="E269" s="1">
        <f t="shared" si="44"/>
        <v>208</v>
      </c>
    </row>
    <row r="270" spans="1:18" x14ac:dyDescent="0.3">
      <c r="B270" s="1">
        <v>7</v>
      </c>
      <c r="C270" s="1" t="str">
        <f>IF($O$267=0,"n/a","G4")</f>
        <v>G4</v>
      </c>
      <c r="D270" s="1">
        <f>VLOOKUP(C270,GradeCharge[#All],2,FALSE)</f>
        <v>132</v>
      </c>
      <c r="E270" s="1">
        <f t="shared" si="44"/>
        <v>264</v>
      </c>
      <c r="M270" s="3"/>
      <c r="P270" s="3"/>
    </row>
    <row r="271" spans="1:18" x14ac:dyDescent="0.3">
      <c r="B271" s="1">
        <v>8</v>
      </c>
      <c r="C271" s="1" t="str">
        <f>IF($O$267=0,"n/a","G5")</f>
        <v>G5</v>
      </c>
      <c r="D271" s="1">
        <f>VLOOKUP(C271,GradeCharge[#All],2,FALSE)</f>
        <v>157</v>
      </c>
      <c r="E271" s="1">
        <f t="shared" si="44"/>
        <v>314</v>
      </c>
    </row>
    <row r="272" spans="1:18" x14ac:dyDescent="0.3">
      <c r="B272" s="1">
        <v>9</v>
      </c>
      <c r="C272" s="1" t="str">
        <f>IF($O$267=0,"n/a","G6")</f>
        <v>G6</v>
      </c>
      <c r="D272" s="1">
        <f>VLOOKUP(C272,GradeCharge[#All],2,FALSE)</f>
        <v>183</v>
      </c>
      <c r="E272" s="1">
        <f t="shared" si="44"/>
        <v>366</v>
      </c>
    </row>
    <row r="273" spans="1:18" x14ac:dyDescent="0.3">
      <c r="B273" s="1">
        <v>10</v>
      </c>
      <c r="C273" s="1" t="str">
        <f>IF($O$267=0,"n/a","G7")</f>
        <v>G7</v>
      </c>
      <c r="D273" s="1">
        <f>VLOOKUP(C273,GradeCharge[#All],2,FALSE)</f>
        <v>207</v>
      </c>
      <c r="E273" s="1">
        <f t="shared" si="44"/>
        <v>414</v>
      </c>
    </row>
    <row r="274" spans="1:18" x14ac:dyDescent="0.3">
      <c r="B274" s="1">
        <v>11</v>
      </c>
      <c r="C274" s="1" t="str">
        <f>IF($O$267=0,"n/a","G8")</f>
        <v>G8</v>
      </c>
      <c r="D274" s="1">
        <f>VLOOKUP(C274,GradeCharge[#All],2,FALSE)</f>
        <v>235</v>
      </c>
      <c r="E274" s="1">
        <f t="shared" si="44"/>
        <v>470</v>
      </c>
    </row>
    <row r="275" spans="1:18" x14ac:dyDescent="0.3">
      <c r="B275" s="1">
        <v>12</v>
      </c>
      <c r="C275" s="1" t="str">
        <f>IF($O$267=0,"n/a","G8+")</f>
        <v>G8+</v>
      </c>
      <c r="D275" s="1">
        <f>VLOOKUP(C275,GradeCharge[#All],2,FALSE)</f>
        <v>0</v>
      </c>
      <c r="E275" s="1">
        <f t="shared" si="44"/>
        <v>0</v>
      </c>
      <c r="I275" s="9"/>
    </row>
    <row r="276" spans="1:18" x14ac:dyDescent="0.3">
      <c r="I276" s="9"/>
    </row>
    <row r="278" spans="1:18" s="4" customFormat="1" x14ac:dyDescent="0.3">
      <c r="K278" s="17"/>
      <c r="N278" s="17"/>
    </row>
    <row r="279" spans="1:18" x14ac:dyDescent="0.3">
      <c r="A279" s="75" t="s">
        <v>100</v>
      </c>
      <c r="D279" s="55">
        <f>N298+D280</f>
        <v>0</v>
      </c>
      <c r="I279" s="6" t="s">
        <v>106</v>
      </c>
      <c r="J279" s="6" t="s">
        <v>107</v>
      </c>
      <c r="K279" s="19" t="s">
        <v>109</v>
      </c>
      <c r="L279" s="6" t="s">
        <v>105</v>
      </c>
      <c r="N279" s="19" t="s">
        <v>124</v>
      </c>
      <c r="O279" s="6" t="s">
        <v>108</v>
      </c>
      <c r="Q279" s="6" t="s">
        <v>120</v>
      </c>
      <c r="R279" s="6" t="s">
        <v>121</v>
      </c>
    </row>
    <row r="280" spans="1:18" x14ac:dyDescent="0.3">
      <c r="A280" s="5" t="s">
        <v>123</v>
      </c>
      <c r="D280" s="55">
        <f>INDEX(B283:E294,C353,4)</f>
        <v>0</v>
      </c>
      <c r="I280" s="1" t="s">
        <v>171</v>
      </c>
      <c r="J280" s="1">
        <f>INDEX(AssyMatrix[#All],Q280,R280)</f>
        <v>0</v>
      </c>
      <c r="K280" s="14">
        <f>VLOOKUP(I280,AssyList[#All],4,FALSE)</f>
        <v>472</v>
      </c>
      <c r="L280" s="1">
        <f>VLOOKUP(I280,AssyList[#All],3,FALSE)</f>
        <v>1</v>
      </c>
      <c r="N280" s="14">
        <f>J280*K280</f>
        <v>0</v>
      </c>
      <c r="O280" s="1">
        <f>J280*L280</f>
        <v>0</v>
      </c>
      <c r="Q280" s="1">
        <f>MATCH($B$1,AssyMatrix[[#All],[Model '#]],0)</f>
        <v>9</v>
      </c>
      <c r="R280" s="1">
        <f>MATCH(I280,AssyMatrix[#Headers],0)</f>
        <v>27</v>
      </c>
    </row>
    <row r="281" spans="1:18" x14ac:dyDescent="0.3">
      <c r="A281" s="5"/>
      <c r="I281" s="1" t="s">
        <v>172</v>
      </c>
      <c r="J281" s="1">
        <f>INDEX(AssyMatrix[#All],Q281,R281)</f>
        <v>0</v>
      </c>
      <c r="K281" s="14">
        <f>VLOOKUP(I281,AssyList[#All],4,FALSE)</f>
        <v>640</v>
      </c>
      <c r="L281" s="1">
        <f>VLOOKUP(I281,AssyList[#All],3,FALSE)</f>
        <v>2</v>
      </c>
      <c r="N281" s="14">
        <f t="shared" ref="N281:N291" si="46">J281*K281</f>
        <v>0</v>
      </c>
      <c r="O281" s="1">
        <f t="shared" ref="O281:O291" si="47">J281*L281</f>
        <v>0</v>
      </c>
      <c r="Q281" s="1">
        <f>MATCH($B$1,AssyMatrix[[#All],[Model '#]],0)</f>
        <v>9</v>
      </c>
      <c r="R281" s="1">
        <f>MATCH(I281,AssyMatrix[#Headers],0)</f>
        <v>28</v>
      </c>
    </row>
    <row r="282" spans="1:18" x14ac:dyDescent="0.3">
      <c r="B282" s="1" t="s">
        <v>128</v>
      </c>
      <c r="C282" s="1" t="s">
        <v>103</v>
      </c>
      <c r="D282" s="1" t="s">
        <v>119</v>
      </c>
      <c r="E282" s="1" t="s">
        <v>122</v>
      </c>
      <c r="I282" s="1" t="s">
        <v>173</v>
      </c>
      <c r="J282" s="1">
        <f>INDEX(AssyMatrix[#All],Q282,R282)</f>
        <v>0</v>
      </c>
      <c r="K282" s="14">
        <f>VLOOKUP(I282,AssyList[#All],4,FALSE)</f>
        <v>700</v>
      </c>
      <c r="L282" s="1">
        <f>VLOOKUP(I282,AssyList[#All],3,FALSE)</f>
        <v>2.25</v>
      </c>
      <c r="N282" s="14">
        <f t="shared" si="46"/>
        <v>0</v>
      </c>
      <c r="O282" s="1">
        <f t="shared" si="47"/>
        <v>0</v>
      </c>
      <c r="Q282" s="1">
        <f>MATCH($B$1,AssyMatrix[[#All],[Model '#]],0)</f>
        <v>9</v>
      </c>
      <c r="R282" s="1">
        <f>MATCH(I282,AssyMatrix[#Headers],0)</f>
        <v>29</v>
      </c>
    </row>
    <row r="283" spans="1:18" x14ac:dyDescent="0.3">
      <c r="B283" s="1">
        <v>1</v>
      </c>
      <c r="C283" s="1" t="str">
        <f>IF($O$298=0,"n/a","COM")</f>
        <v>n/a</v>
      </c>
      <c r="D283" s="1">
        <f>VLOOKUP(C283,GradeCharge[#All],2,FALSE)</f>
        <v>0</v>
      </c>
      <c r="E283" s="1">
        <f>D283*$O$298</f>
        <v>0</v>
      </c>
      <c r="I283" s="1" t="s">
        <v>174</v>
      </c>
      <c r="J283" s="1">
        <f>INDEX(AssyMatrix[#All],Q283,R283)</f>
        <v>0</v>
      </c>
      <c r="K283" s="14">
        <f>VLOOKUP(I283,AssyList[#All],4,FALSE)</f>
        <v>781</v>
      </c>
      <c r="L283" s="1">
        <f>VLOOKUP(I283,AssyList[#All],3,FALSE)</f>
        <v>2.75</v>
      </c>
      <c r="N283" s="14">
        <f t="shared" si="46"/>
        <v>0</v>
      </c>
      <c r="O283" s="1">
        <f t="shared" si="47"/>
        <v>0</v>
      </c>
      <c r="Q283" s="1">
        <f>MATCH($B$1,AssyMatrix[[#All],[Model '#]],0)</f>
        <v>9</v>
      </c>
      <c r="R283" s="1">
        <f>MATCH(I283,AssyMatrix[#Headers],0)</f>
        <v>30</v>
      </c>
    </row>
    <row r="284" spans="1:18" x14ac:dyDescent="0.3">
      <c r="B284" s="1">
        <v>2</v>
      </c>
      <c r="C284" s="1" t="str">
        <f>IF($O$298=0,"n/a","COL")</f>
        <v>n/a</v>
      </c>
      <c r="D284" s="1">
        <f>VLOOKUP(C284,GradeCharge[#All],2,FALSE)</f>
        <v>0</v>
      </c>
      <c r="E284" s="1">
        <f t="shared" ref="E284" si="48">D284*$O$298</f>
        <v>0</v>
      </c>
      <c r="I284" s="3" t="s">
        <v>175</v>
      </c>
      <c r="J284" s="1">
        <f>INDEX(AssyMatrix[#All],Q284,R284)</f>
        <v>0</v>
      </c>
      <c r="K284" s="14">
        <f>VLOOKUP(I284,AssyList[#All],4,FALSE)</f>
        <v>912</v>
      </c>
      <c r="L284" s="1">
        <f>VLOOKUP(I284,AssyList[#All],3,FALSE)</f>
        <v>0</v>
      </c>
      <c r="N284" s="14">
        <f t="shared" si="46"/>
        <v>0</v>
      </c>
      <c r="O284" s="1">
        <f t="shared" si="47"/>
        <v>0</v>
      </c>
      <c r="Q284" s="1">
        <f>MATCH($B$1,AssyMatrix[[#All],[Model '#]],0)</f>
        <v>9</v>
      </c>
      <c r="R284" s="1">
        <f>MATCH(I284,AssyMatrix[#Headers],0)</f>
        <v>31</v>
      </c>
    </row>
    <row r="285" spans="1:18" x14ac:dyDescent="0.3">
      <c r="B285" s="1">
        <v>3</v>
      </c>
      <c r="C285" s="1" t="str">
        <f>IF($O$298=0,"n/a","GA")</f>
        <v>n/a</v>
      </c>
      <c r="D285" s="1">
        <f>VLOOKUP(C285,GradeCharge[#All],2,FALSE)</f>
        <v>0</v>
      </c>
      <c r="E285" s="1">
        <f t="shared" ref="E285" si="49">D285*$O$298</f>
        <v>0</v>
      </c>
      <c r="I285" s="1" t="s">
        <v>176</v>
      </c>
      <c r="J285" s="1">
        <f>INDEX(AssyMatrix[#All],Q285,R285)</f>
        <v>0</v>
      </c>
      <c r="K285" s="14">
        <f>VLOOKUP(I285,AssyList[#All],4,FALSE)</f>
        <v>1655</v>
      </c>
      <c r="L285" s="1">
        <f>VLOOKUP(I285,AssyList[#All],3,FALSE)</f>
        <v>0</v>
      </c>
      <c r="M285" s="3"/>
      <c r="N285" s="14">
        <f t="shared" si="46"/>
        <v>0</v>
      </c>
      <c r="O285" s="1">
        <f t="shared" si="47"/>
        <v>0</v>
      </c>
      <c r="P285" s="3"/>
      <c r="Q285" s="1">
        <f>MATCH($B$1,AssyMatrix[[#All],[Model '#]],0)</f>
        <v>9</v>
      </c>
      <c r="R285" s="1">
        <f>MATCH(I285,AssyMatrix[#Headers],0)</f>
        <v>32</v>
      </c>
    </row>
    <row r="286" spans="1:18" x14ac:dyDescent="0.3">
      <c r="B286" s="1">
        <v>4</v>
      </c>
      <c r="C286" s="1" t="str">
        <f>IF($O$298=0,"n/a","G1")</f>
        <v>n/a</v>
      </c>
      <c r="D286" s="1">
        <f>VLOOKUP(C286,GradeCharge[#All],2,FALSE)</f>
        <v>0</v>
      </c>
      <c r="E286" s="1">
        <f t="shared" ref="E286:E294" si="50">D286*$O$298</f>
        <v>0</v>
      </c>
      <c r="I286" s="1" t="s">
        <v>177</v>
      </c>
      <c r="J286" s="1">
        <f>INDEX(AssyMatrix[#All],Q286,R286)</f>
        <v>0</v>
      </c>
      <c r="K286" s="14">
        <f>VLOOKUP(I286,AssyList[#All],4,FALSE)</f>
        <v>1736</v>
      </c>
      <c r="L286" s="1">
        <f>VLOOKUP(I286,AssyList[#All],3,FALSE)</f>
        <v>0</v>
      </c>
      <c r="N286" s="14">
        <f t="shared" si="46"/>
        <v>0</v>
      </c>
      <c r="O286" s="1">
        <f t="shared" si="47"/>
        <v>0</v>
      </c>
      <c r="Q286" s="1">
        <f>MATCH($B$1,AssyMatrix[[#All],[Model '#]],0)</f>
        <v>9</v>
      </c>
      <c r="R286" s="1">
        <f>MATCH(I286,AssyMatrix[#Headers],0)</f>
        <v>33</v>
      </c>
    </row>
    <row r="287" spans="1:18" x14ac:dyDescent="0.3">
      <c r="B287" s="1">
        <v>5</v>
      </c>
      <c r="C287" s="1" t="str">
        <f>IF($O$298=0,"n/a","G2")</f>
        <v>n/a</v>
      </c>
      <c r="D287" s="1">
        <f>VLOOKUP(C287,GradeCharge[#All],2,FALSE)</f>
        <v>0</v>
      </c>
      <c r="E287" s="1">
        <f t="shared" si="50"/>
        <v>0</v>
      </c>
      <c r="I287" s="1" t="s">
        <v>178</v>
      </c>
      <c r="J287" s="1">
        <f>INDEX(AssyMatrix[#All],Q287,R287)</f>
        <v>0</v>
      </c>
      <c r="K287" s="14">
        <f>VLOOKUP(I287,AssyList[#All],4,FALSE)</f>
        <v>1775</v>
      </c>
      <c r="L287" s="1">
        <f>VLOOKUP(I287,AssyList[#All],3,FALSE)</f>
        <v>0</v>
      </c>
      <c r="N287" s="14">
        <f t="shared" si="46"/>
        <v>0</v>
      </c>
      <c r="O287" s="1">
        <f t="shared" si="47"/>
        <v>0</v>
      </c>
      <c r="Q287" s="1">
        <f>MATCH($B$1,AssyMatrix[[#All],[Model '#]],0)</f>
        <v>9</v>
      </c>
      <c r="R287" s="1">
        <f>MATCH(I287,AssyMatrix[#Headers],0)</f>
        <v>34</v>
      </c>
    </row>
    <row r="288" spans="1:18" x14ac:dyDescent="0.3">
      <c r="B288" s="1">
        <v>6</v>
      </c>
      <c r="C288" s="1" t="str">
        <f>IF($O$298=0,"n/a","G3")</f>
        <v>n/a</v>
      </c>
      <c r="D288" s="1">
        <f>VLOOKUP(C288,GradeCharge[#All],2,FALSE)</f>
        <v>0</v>
      </c>
      <c r="E288" s="1">
        <f t="shared" si="50"/>
        <v>0</v>
      </c>
      <c r="I288" s="3" t="s">
        <v>179</v>
      </c>
      <c r="J288" s="1">
        <f>INDEX(AssyMatrix[#All],Q288,R288)</f>
        <v>0</v>
      </c>
      <c r="K288" s="14">
        <f>VLOOKUP(I288,AssyList[#All],4,FALSE)</f>
        <v>912</v>
      </c>
      <c r="L288" s="1">
        <f>VLOOKUP(I288,AssyList[#All],3,FALSE)</f>
        <v>0</v>
      </c>
      <c r="N288" s="14">
        <f t="shared" si="46"/>
        <v>0</v>
      </c>
      <c r="O288" s="1">
        <f t="shared" si="47"/>
        <v>0</v>
      </c>
      <c r="Q288" s="1">
        <f>MATCH($B$1,AssyMatrix[[#All],[Model '#]],0)</f>
        <v>9</v>
      </c>
      <c r="R288" s="1">
        <f>MATCH(I288,AssyMatrix[#Headers],0)</f>
        <v>35</v>
      </c>
    </row>
    <row r="289" spans="1:18" x14ac:dyDescent="0.3">
      <c r="B289" s="1">
        <v>7</v>
      </c>
      <c r="C289" s="1" t="str">
        <f>IF($O$298=0,"n/a","G4")</f>
        <v>n/a</v>
      </c>
      <c r="D289" s="1">
        <f>VLOOKUP(C289,GradeCharge[#All],2,FALSE)</f>
        <v>0</v>
      </c>
      <c r="E289" s="1">
        <f t="shared" si="50"/>
        <v>0</v>
      </c>
      <c r="I289" s="1" t="s">
        <v>180</v>
      </c>
      <c r="J289" s="1">
        <f>INDEX(AssyMatrix[#All],Q289,R289)</f>
        <v>0</v>
      </c>
      <c r="K289" s="14">
        <f>VLOOKUP(I289,AssyList[#All],4,FALSE)</f>
        <v>1655</v>
      </c>
      <c r="L289" s="1">
        <f>VLOOKUP(I289,AssyList[#All],3,FALSE)</f>
        <v>0</v>
      </c>
      <c r="N289" s="14">
        <f t="shared" si="46"/>
        <v>0</v>
      </c>
      <c r="O289" s="1">
        <f t="shared" si="47"/>
        <v>0</v>
      </c>
      <c r="Q289" s="1">
        <f>MATCH($B$1,AssyMatrix[[#All],[Model '#]],0)</f>
        <v>9</v>
      </c>
      <c r="R289" s="1">
        <f>MATCH(I289,AssyMatrix[#Headers],0)</f>
        <v>36</v>
      </c>
    </row>
    <row r="290" spans="1:18" x14ac:dyDescent="0.3">
      <c r="B290" s="1">
        <v>8</v>
      </c>
      <c r="C290" s="1" t="str">
        <f>IF($O$298=0,"n/a","G5")</f>
        <v>n/a</v>
      </c>
      <c r="D290" s="1">
        <f>VLOOKUP(C290,GradeCharge[#All],2,FALSE)</f>
        <v>0</v>
      </c>
      <c r="E290" s="1">
        <f t="shared" si="50"/>
        <v>0</v>
      </c>
      <c r="I290" s="1" t="s">
        <v>181</v>
      </c>
      <c r="J290" s="1">
        <f>INDEX(AssyMatrix[#All],Q290,R290)</f>
        <v>0</v>
      </c>
      <c r="K290" s="14">
        <f>VLOOKUP(I290,AssyList[#All],4,FALSE)</f>
        <v>1736</v>
      </c>
      <c r="L290" s="1">
        <f>VLOOKUP(I290,AssyList[#All],3,FALSE)</f>
        <v>0</v>
      </c>
      <c r="N290" s="14">
        <f t="shared" si="46"/>
        <v>0</v>
      </c>
      <c r="O290" s="1">
        <f t="shared" si="47"/>
        <v>0</v>
      </c>
      <c r="Q290" s="1">
        <f>MATCH($B$1,AssyMatrix[[#All],[Model '#]],0)</f>
        <v>9</v>
      </c>
      <c r="R290" s="1">
        <f>MATCH(I290,AssyMatrix[#Headers],0)</f>
        <v>37</v>
      </c>
    </row>
    <row r="291" spans="1:18" x14ac:dyDescent="0.3">
      <c r="B291" s="1">
        <v>9</v>
      </c>
      <c r="C291" s="1" t="str">
        <f>IF($O$298=0,"n/a","G6")</f>
        <v>n/a</v>
      </c>
      <c r="D291" s="1">
        <f>VLOOKUP(C291,GradeCharge[#All],2,FALSE)</f>
        <v>0</v>
      </c>
      <c r="E291" s="1">
        <f t="shared" si="50"/>
        <v>0</v>
      </c>
      <c r="I291" s="1" t="s">
        <v>182</v>
      </c>
      <c r="J291" s="1">
        <f>INDEX(AssyMatrix[#All],Q291,R291)</f>
        <v>0</v>
      </c>
      <c r="K291" s="14">
        <f>VLOOKUP(I291,AssyList[#All],4,FALSE)</f>
        <v>1775</v>
      </c>
      <c r="L291" s="1">
        <f>VLOOKUP(I291,AssyList[#All],3,FALSE)</f>
        <v>0</v>
      </c>
      <c r="N291" s="14">
        <f t="shared" si="46"/>
        <v>0</v>
      </c>
      <c r="O291" s="1">
        <f t="shared" si="47"/>
        <v>0</v>
      </c>
      <c r="Q291" s="1">
        <f>MATCH($B$1,AssyMatrix[[#All],[Model '#]],0)</f>
        <v>9</v>
      </c>
      <c r="R291" s="1">
        <f>MATCH(I291,AssyMatrix[#Headers],0)</f>
        <v>38</v>
      </c>
    </row>
    <row r="292" spans="1:18" x14ac:dyDescent="0.3">
      <c r="B292" s="1">
        <v>10</v>
      </c>
      <c r="C292" s="1" t="str">
        <f>IF($O$298=0,"n/a","G7")</f>
        <v>n/a</v>
      </c>
      <c r="D292" s="1">
        <f>VLOOKUP(C292,GradeCharge[#All],2,FALSE)</f>
        <v>0</v>
      </c>
      <c r="E292" s="1">
        <f t="shared" si="50"/>
        <v>0</v>
      </c>
      <c r="I292" s="1" t="s">
        <v>436</v>
      </c>
      <c r="J292" s="1">
        <f>INDEX(AssyMatrix[#All],Q292,R292)</f>
        <v>0</v>
      </c>
      <c r="K292" s="14">
        <f>VLOOKUP(I292,AssyList[#All],4,FALSE)</f>
        <v>912</v>
      </c>
      <c r="L292" s="1">
        <f>VLOOKUP(I292,AssyList[#All],3,FALSE)</f>
        <v>0</v>
      </c>
      <c r="N292" s="14">
        <f>J292*K292</f>
        <v>0</v>
      </c>
      <c r="O292" s="1">
        <f>J292*L292</f>
        <v>0</v>
      </c>
      <c r="Q292" s="1">
        <f>MATCH($B$1,AssyMatrix[[#All],[Model '#]],0)</f>
        <v>9</v>
      </c>
      <c r="R292" s="1">
        <f>MATCH(I292,AssyMatrix[#Headers],0)</f>
        <v>39</v>
      </c>
    </row>
    <row r="293" spans="1:18" x14ac:dyDescent="0.3">
      <c r="B293" s="1">
        <v>11</v>
      </c>
      <c r="C293" s="1" t="str">
        <f>IF($O$298=0,"n/a","G8")</f>
        <v>n/a</v>
      </c>
      <c r="D293" s="1">
        <f>VLOOKUP(C293,GradeCharge[#All],2,FALSE)</f>
        <v>0</v>
      </c>
      <c r="E293" s="1">
        <f t="shared" si="50"/>
        <v>0</v>
      </c>
      <c r="I293" s="1" t="s">
        <v>437</v>
      </c>
      <c r="J293" s="1">
        <f>INDEX(AssyMatrix[#All],Q293,R293)</f>
        <v>0</v>
      </c>
      <c r="K293" s="14">
        <f>VLOOKUP(I293,AssyList[#All],4,FALSE)</f>
        <v>1655</v>
      </c>
      <c r="L293" s="1">
        <f>VLOOKUP(I293,AssyList[#All],3,FALSE)</f>
        <v>0</v>
      </c>
      <c r="N293" s="14">
        <f>J293*K293</f>
        <v>0</v>
      </c>
      <c r="O293" s="1">
        <f>J293*L293</f>
        <v>0</v>
      </c>
      <c r="Q293" s="1">
        <f>MATCH($B$1,AssyMatrix[[#All],[Model '#]],0)</f>
        <v>9</v>
      </c>
      <c r="R293" s="1">
        <f>MATCH(I293,AssyMatrix[#Headers],0)</f>
        <v>40</v>
      </c>
    </row>
    <row r="294" spans="1:18" x14ac:dyDescent="0.3">
      <c r="B294" s="1">
        <v>12</v>
      </c>
      <c r="C294" s="1" t="str">
        <f>IF($O$298=0,"n/a","G8+")</f>
        <v>n/a</v>
      </c>
      <c r="D294" s="1">
        <f>VLOOKUP(C294,GradeCharge[#All],2,FALSE)</f>
        <v>0</v>
      </c>
      <c r="E294" s="1">
        <f t="shared" si="50"/>
        <v>0</v>
      </c>
      <c r="I294" s="1" t="s">
        <v>438</v>
      </c>
      <c r="J294" s="1">
        <f>INDEX(AssyMatrix[#All],Q294,R294)</f>
        <v>0</v>
      </c>
      <c r="K294" s="14">
        <f>VLOOKUP(I294,AssyList[#All],4,FALSE)</f>
        <v>1736</v>
      </c>
      <c r="L294" s="1">
        <f>VLOOKUP(I294,AssyList[#All],3,FALSE)</f>
        <v>0</v>
      </c>
      <c r="N294" s="14">
        <f>J294*K294</f>
        <v>0</v>
      </c>
      <c r="O294" s="1">
        <f>J294*L294</f>
        <v>0</v>
      </c>
      <c r="Q294" s="1">
        <f>MATCH($B$1,AssyMatrix[[#All],[Model '#]],0)</f>
        <v>9</v>
      </c>
      <c r="R294" s="1">
        <f>MATCH(I294,AssyMatrix[#Headers],0)</f>
        <v>41</v>
      </c>
    </row>
    <row r="295" spans="1:18" x14ac:dyDescent="0.3">
      <c r="I295" s="1" t="s">
        <v>439</v>
      </c>
      <c r="J295" s="1">
        <f>INDEX(AssyMatrix[#All],Q295,R295)</f>
        <v>0</v>
      </c>
      <c r="K295" s="14">
        <f>VLOOKUP(I295,AssyList[#All],4,FALSE)</f>
        <v>1775</v>
      </c>
      <c r="L295" s="1">
        <f>VLOOKUP(I295,AssyList[#All],3,FALSE)</f>
        <v>0</v>
      </c>
      <c r="N295" s="14">
        <f>J295*K295</f>
        <v>0</v>
      </c>
      <c r="O295" s="1">
        <f>J295*L295</f>
        <v>0</v>
      </c>
      <c r="Q295" s="1">
        <f>MATCH($B$1,AssyMatrix[[#All],[Model '#]],0)</f>
        <v>9</v>
      </c>
      <c r="R295" s="1">
        <f>MATCH(I295,AssyMatrix[#Headers],0)</f>
        <v>42</v>
      </c>
    </row>
    <row r="296" spans="1:18" x14ac:dyDescent="0.3">
      <c r="I296" s="1" t="s">
        <v>573</v>
      </c>
      <c r="J296" s="1">
        <f>INDEX(AssyMatrix[#All],Q296,R296)</f>
        <v>0</v>
      </c>
      <c r="K296" s="14">
        <f>VLOOKUP(I296,AssyList[#All],4,FALSE)</f>
        <v>1775</v>
      </c>
      <c r="L296" s="1">
        <f>VLOOKUP(I296,AssyList[#All],3,FALSE)</f>
        <v>0</v>
      </c>
      <c r="N296" s="14">
        <f t="shared" ref="N296:N297" si="51">J296*K296</f>
        <v>0</v>
      </c>
      <c r="O296" s="1">
        <f t="shared" ref="O296:O297" si="52">J296*L296</f>
        <v>0</v>
      </c>
      <c r="Q296" s="1">
        <f>MATCH($B$1,AssyMatrix[[#All],[Model '#]],0)</f>
        <v>9</v>
      </c>
      <c r="R296" s="1">
        <f>MATCH(I296,AssyMatrix[#Headers],0)</f>
        <v>78</v>
      </c>
    </row>
    <row r="297" spans="1:18" x14ac:dyDescent="0.3">
      <c r="I297" s="1" t="s">
        <v>574</v>
      </c>
      <c r="J297" s="1">
        <f>INDEX(AssyMatrix[#All],Q297,R297)</f>
        <v>0</v>
      </c>
      <c r="K297" s="14">
        <f>VLOOKUP(I297,AssyList[#All],4,FALSE)</f>
        <v>780</v>
      </c>
      <c r="L297" s="1">
        <f>VLOOKUP(I297,AssyList[#All],3,FALSE)</f>
        <v>2</v>
      </c>
      <c r="N297" s="14">
        <f t="shared" si="51"/>
        <v>0</v>
      </c>
      <c r="O297" s="1">
        <f t="shared" si="52"/>
        <v>0</v>
      </c>
      <c r="Q297" s="1">
        <f>MATCH($B$1,AssyMatrix[[#All],[Model '#]],0)</f>
        <v>9</v>
      </c>
      <c r="R297" s="1">
        <f>MATCH(I297,AssyMatrix[#Headers],0)</f>
        <v>79</v>
      </c>
    </row>
    <row r="298" spans="1:18" x14ac:dyDescent="0.3">
      <c r="I298" s="4" t="s">
        <v>125</v>
      </c>
      <c r="J298" s="4"/>
      <c r="K298" s="17"/>
      <c r="L298" s="4"/>
      <c r="N298" s="91">
        <f t="shared" ref="N298:O298" si="53">SUM(N280:N297)</f>
        <v>0</v>
      </c>
      <c r="O298" s="91">
        <f t="shared" si="53"/>
        <v>0</v>
      </c>
      <c r="Q298" s="4"/>
      <c r="R298" s="4"/>
    </row>
    <row r="299" spans="1:18" s="3" customFormat="1" x14ac:dyDescent="0.3">
      <c r="K299" s="18"/>
      <c r="N299" s="18"/>
    </row>
    <row r="300" spans="1:18" s="4" customFormat="1" x14ac:dyDescent="0.3">
      <c r="K300" s="17"/>
      <c r="N300" s="17"/>
    </row>
    <row r="301" spans="1:18" x14ac:dyDescent="0.3">
      <c r="A301" s="75" t="s">
        <v>101</v>
      </c>
      <c r="D301" s="55">
        <f>N315+D302</f>
        <v>0</v>
      </c>
      <c r="I301" s="6" t="s">
        <v>106</v>
      </c>
      <c r="J301" s="6" t="s">
        <v>107</v>
      </c>
      <c r="K301" s="19" t="s">
        <v>109</v>
      </c>
      <c r="L301" s="6" t="s">
        <v>105</v>
      </c>
      <c r="N301" s="19" t="s">
        <v>124</v>
      </c>
      <c r="O301" s="6" t="s">
        <v>108</v>
      </c>
      <c r="Q301" s="6" t="s">
        <v>120</v>
      </c>
      <c r="R301" s="6" t="s">
        <v>121</v>
      </c>
    </row>
    <row r="302" spans="1:18" x14ac:dyDescent="0.3">
      <c r="A302" s="5" t="s">
        <v>123</v>
      </c>
      <c r="D302" s="55">
        <f>INDEX(B305:E316,C354,4)</f>
        <v>0</v>
      </c>
      <c r="I302" s="1" t="s">
        <v>183</v>
      </c>
      <c r="J302" s="1">
        <f>INDEX(AssyMatrix[#All],Q302,R302)</f>
        <v>0</v>
      </c>
      <c r="K302" s="14">
        <f>VLOOKUP(I302,AssyList[#All],4,FALSE)</f>
        <v>666</v>
      </c>
      <c r="L302" s="1">
        <f>VLOOKUP(I302,AssyList[#All],3,FALSE)</f>
        <v>1.75</v>
      </c>
      <c r="N302" s="14">
        <f>J302*K302</f>
        <v>0</v>
      </c>
      <c r="O302" s="1">
        <f>J302*L302</f>
        <v>0</v>
      </c>
      <c r="Q302" s="1">
        <f>MATCH($B$1,AssyMatrix[[#All],[Model '#]],0)</f>
        <v>9</v>
      </c>
      <c r="R302" s="1">
        <f>MATCH(I302,AssyMatrix[#Headers],0)</f>
        <v>45</v>
      </c>
    </row>
    <row r="303" spans="1:18" x14ac:dyDescent="0.3">
      <c r="A303" s="5"/>
      <c r="I303" s="1" t="s">
        <v>184</v>
      </c>
      <c r="J303" s="1">
        <f>INDEX(AssyMatrix[#All],Q303,R303)</f>
        <v>0</v>
      </c>
      <c r="K303" s="14">
        <f>VLOOKUP(I303,AssyList[#All],4,FALSE)</f>
        <v>923</v>
      </c>
      <c r="L303" s="1">
        <f>VLOOKUP(I303,AssyList[#All],3,FALSE)</f>
        <v>4</v>
      </c>
      <c r="N303" s="14">
        <f t="shared" ref="N303:N312" si="54">J303*K303</f>
        <v>0</v>
      </c>
      <c r="O303" s="1">
        <f t="shared" ref="O303:O312" si="55">J303*L303</f>
        <v>0</v>
      </c>
      <c r="Q303" s="1">
        <f>MATCH($B$1,AssyMatrix[[#All],[Model '#]],0)</f>
        <v>9</v>
      </c>
      <c r="R303" s="1">
        <f>MATCH(I303,AssyMatrix[#Headers],0)</f>
        <v>46</v>
      </c>
    </row>
    <row r="304" spans="1:18" x14ac:dyDescent="0.3">
      <c r="B304" s="1" t="s">
        <v>128</v>
      </c>
      <c r="C304" s="1" t="s">
        <v>103</v>
      </c>
      <c r="D304" s="1" t="s">
        <v>119</v>
      </c>
      <c r="E304" s="1" t="s">
        <v>122</v>
      </c>
      <c r="I304" s="1" t="s">
        <v>185</v>
      </c>
      <c r="J304" s="1">
        <f>INDEX(AssyMatrix[#All],Q304,R304)</f>
        <v>0</v>
      </c>
      <c r="K304" s="14">
        <f>VLOOKUP(I304,AssyList[#All],4,FALSE)</f>
        <v>1106</v>
      </c>
      <c r="L304" s="1">
        <f>VLOOKUP(I304,AssyList[#All],3,FALSE)</f>
        <v>4.5</v>
      </c>
      <c r="N304" s="14">
        <f t="shared" si="54"/>
        <v>0</v>
      </c>
      <c r="O304" s="1">
        <f t="shared" si="55"/>
        <v>0</v>
      </c>
      <c r="Q304" s="1">
        <f>MATCH($B$1,AssyMatrix[[#All],[Model '#]],0)</f>
        <v>9</v>
      </c>
      <c r="R304" s="1">
        <f>MATCH(I304,AssyMatrix[#Headers],0)</f>
        <v>47</v>
      </c>
    </row>
    <row r="305" spans="1:18" x14ac:dyDescent="0.3">
      <c r="B305" s="1">
        <v>1</v>
      </c>
      <c r="C305" s="1" t="str">
        <f>IF($O$315=0,"n/a","COM")</f>
        <v>n/a</v>
      </c>
      <c r="D305" s="1">
        <f>VLOOKUP(C305,GradeCharge[#All],2,FALSE)</f>
        <v>0</v>
      </c>
      <c r="E305" s="1">
        <f>D305*$O$315</f>
        <v>0</v>
      </c>
      <c r="I305" s="1" t="s">
        <v>186</v>
      </c>
      <c r="J305" s="1">
        <f>INDEX(AssyMatrix[#All],Q305,R305)</f>
        <v>0</v>
      </c>
      <c r="K305" s="14">
        <f>VLOOKUP(I305,AssyList[#All],4,FALSE)</f>
        <v>762</v>
      </c>
      <c r="L305" s="1">
        <f>VLOOKUP(I305,AssyList[#All],3,FALSE)</f>
        <v>2</v>
      </c>
      <c r="N305" s="14">
        <f t="shared" si="54"/>
        <v>0</v>
      </c>
      <c r="O305" s="1">
        <f t="shared" si="55"/>
        <v>0</v>
      </c>
      <c r="Q305" s="1">
        <f>MATCH($B$1,AssyMatrix[[#All],[Model '#]],0)</f>
        <v>9</v>
      </c>
      <c r="R305" s="1">
        <f>MATCH(I305,AssyMatrix[#Headers],0)</f>
        <v>48</v>
      </c>
    </row>
    <row r="306" spans="1:18" x14ac:dyDescent="0.3">
      <c r="B306" s="1">
        <v>2</v>
      </c>
      <c r="C306" s="1" t="str">
        <f>IF($O$315=0,"n/a","COL")</f>
        <v>n/a</v>
      </c>
      <c r="D306" s="1">
        <f>VLOOKUP(C306,GradeCharge[#All],2,FALSE)</f>
        <v>0</v>
      </c>
      <c r="E306" s="1">
        <f t="shared" ref="E306" si="56">D306*$O$315</f>
        <v>0</v>
      </c>
      <c r="I306" s="3" t="s">
        <v>187</v>
      </c>
      <c r="J306" s="1">
        <f>INDEX(AssyMatrix[#All],Q306,R306)</f>
        <v>0</v>
      </c>
      <c r="K306" s="14">
        <f>VLOOKUP(I306,AssyList[#All],4,FALSE)</f>
        <v>1085</v>
      </c>
      <c r="L306" s="1">
        <f>VLOOKUP(I306,AssyList[#All],3,FALSE)</f>
        <v>2</v>
      </c>
      <c r="N306" s="14">
        <f t="shared" si="54"/>
        <v>0</v>
      </c>
      <c r="O306" s="1">
        <f t="shared" si="55"/>
        <v>0</v>
      </c>
      <c r="Q306" s="1">
        <f>MATCH($B$1,AssyMatrix[[#All],[Model '#]],0)</f>
        <v>9</v>
      </c>
      <c r="R306" s="1">
        <f>MATCH(I306,AssyMatrix[#Headers],0)</f>
        <v>49</v>
      </c>
    </row>
    <row r="307" spans="1:18" x14ac:dyDescent="0.3">
      <c r="B307" s="1">
        <v>3</v>
      </c>
      <c r="C307" s="1" t="str">
        <f>IF($O$315=0,"n/a","GA")</f>
        <v>n/a</v>
      </c>
      <c r="D307" s="1">
        <f>VLOOKUP(C307,GradeCharge[#All],2,FALSE)</f>
        <v>0</v>
      </c>
      <c r="E307" s="1">
        <f t="shared" ref="E307" si="57">D307*$O$315</f>
        <v>0</v>
      </c>
      <c r="I307" s="1" t="s">
        <v>188</v>
      </c>
      <c r="J307" s="1">
        <f>INDEX(AssyMatrix[#All],Q307,R307)</f>
        <v>0</v>
      </c>
      <c r="K307" s="14">
        <f>VLOOKUP(I307,AssyList[#All],4,FALSE)</f>
        <v>710</v>
      </c>
      <c r="L307" s="1">
        <f>VLOOKUP(I307,AssyList[#All],3,FALSE)</f>
        <v>2</v>
      </c>
      <c r="N307" s="14">
        <f t="shared" si="54"/>
        <v>0</v>
      </c>
      <c r="O307" s="1">
        <f t="shared" si="55"/>
        <v>0</v>
      </c>
      <c r="Q307" s="1">
        <f>MATCH($B$1,AssyMatrix[[#All],[Model '#]],0)</f>
        <v>9</v>
      </c>
      <c r="R307" s="1">
        <f>MATCH(I307,AssyMatrix[#Headers],0)</f>
        <v>50</v>
      </c>
    </row>
    <row r="308" spans="1:18" x14ac:dyDescent="0.3">
      <c r="B308" s="1">
        <v>4</v>
      </c>
      <c r="C308" s="1" t="str">
        <f>IF($O$315=0,"n/a","G1")</f>
        <v>n/a</v>
      </c>
      <c r="D308" s="1">
        <f>VLOOKUP(C308,GradeCharge[#All],2,FALSE)</f>
        <v>0</v>
      </c>
      <c r="E308" s="1">
        <f t="shared" ref="E308:E313" si="58">D308*$O$315</f>
        <v>0</v>
      </c>
      <c r="I308" s="1" t="s">
        <v>189</v>
      </c>
      <c r="J308" s="1">
        <f>INDEX(AssyMatrix[#All],Q308,R308)</f>
        <v>0</v>
      </c>
      <c r="K308" s="14">
        <f>VLOOKUP(I308,AssyList[#All],4,FALSE)</f>
        <v>1010</v>
      </c>
      <c r="L308" s="1">
        <f>VLOOKUP(I308,AssyList[#All],3,FALSE)</f>
        <v>3.5</v>
      </c>
      <c r="N308" s="14">
        <f t="shared" si="54"/>
        <v>0</v>
      </c>
      <c r="O308" s="1">
        <f t="shared" si="55"/>
        <v>0</v>
      </c>
      <c r="Q308" s="1">
        <f>MATCH($B$1,AssyMatrix[[#All],[Model '#]],0)</f>
        <v>9</v>
      </c>
      <c r="R308" s="1">
        <f>MATCH(I308,AssyMatrix[#Headers],0)</f>
        <v>51</v>
      </c>
    </row>
    <row r="309" spans="1:18" x14ac:dyDescent="0.3">
      <c r="B309" s="1">
        <v>5</v>
      </c>
      <c r="C309" s="1" t="str">
        <f>IF($O$315=0,"n/a","G2")</f>
        <v>n/a</v>
      </c>
      <c r="D309" s="1">
        <f>VLOOKUP(C309,GradeCharge[#All],2,FALSE)</f>
        <v>0</v>
      </c>
      <c r="E309" s="1">
        <f t="shared" si="58"/>
        <v>0</v>
      </c>
      <c r="I309" s="1" t="s">
        <v>190</v>
      </c>
      <c r="J309" s="1">
        <f>INDEX(AssyMatrix[#All],Q309,R309)</f>
        <v>0</v>
      </c>
      <c r="K309" s="14">
        <f>VLOOKUP(I309,AssyList[#All],4,FALSE)</f>
        <v>1163</v>
      </c>
      <c r="L309" s="1">
        <f>VLOOKUP(I309,AssyList[#All],3,FALSE)</f>
        <v>4.5</v>
      </c>
      <c r="N309" s="14">
        <f t="shared" si="54"/>
        <v>0</v>
      </c>
      <c r="O309" s="1">
        <f t="shared" si="55"/>
        <v>0</v>
      </c>
      <c r="Q309" s="1">
        <f>MATCH($B$1,AssyMatrix[[#All],[Model '#]],0)</f>
        <v>9</v>
      </c>
      <c r="R309" s="1">
        <f>MATCH(I309,AssyMatrix[#Headers],0)</f>
        <v>52</v>
      </c>
    </row>
    <row r="310" spans="1:18" x14ac:dyDescent="0.3">
      <c r="B310" s="1">
        <v>6</v>
      </c>
      <c r="C310" s="1" t="str">
        <f>IF($O$315=0,"n/a","G3")</f>
        <v>n/a</v>
      </c>
      <c r="D310" s="1">
        <f>VLOOKUP(C310,GradeCharge[#All],2,FALSE)</f>
        <v>0</v>
      </c>
      <c r="E310" s="1">
        <f t="shared" si="58"/>
        <v>0</v>
      </c>
      <c r="I310" s="1" t="s">
        <v>166</v>
      </c>
      <c r="J310" s="1">
        <f>INDEX(AssyMatrix[#All],Q310,R310)</f>
        <v>0</v>
      </c>
      <c r="K310" s="14">
        <f>VLOOKUP(I310,AssyList[#All],4,FALSE)</f>
        <v>1131</v>
      </c>
      <c r="L310" s="1">
        <f>VLOOKUP(I310,AssyList[#All],3,FALSE)</f>
        <v>1.75</v>
      </c>
      <c r="N310" s="14">
        <f t="shared" si="54"/>
        <v>0</v>
      </c>
      <c r="O310" s="1">
        <f t="shared" si="55"/>
        <v>0</v>
      </c>
      <c r="Q310" s="1">
        <f>MATCH($B$1,AssyMatrix[[#All],[Model '#]],0)</f>
        <v>9</v>
      </c>
      <c r="R310" s="1">
        <f>MATCH(I310,AssyMatrix[#Headers],0)</f>
        <v>43</v>
      </c>
    </row>
    <row r="311" spans="1:18" x14ac:dyDescent="0.3">
      <c r="B311" s="1">
        <v>7</v>
      </c>
      <c r="C311" s="1" t="str">
        <f>IF($O$315=0,"n/a","G4")</f>
        <v>n/a</v>
      </c>
      <c r="D311" s="1">
        <f>VLOOKUP(C311,GradeCharge[#All],2,FALSE)</f>
        <v>0</v>
      </c>
      <c r="E311" s="1">
        <f t="shared" si="58"/>
        <v>0</v>
      </c>
      <c r="I311" s="1" t="s">
        <v>168</v>
      </c>
      <c r="J311" s="1">
        <f>INDEX(AssyMatrix[#All],Q311,R311)</f>
        <v>0</v>
      </c>
      <c r="K311" s="14">
        <f>VLOOKUP(I311,AssyList[#All],4,FALSE)</f>
        <v>1052</v>
      </c>
      <c r="L311" s="1">
        <f>VLOOKUP(I311,AssyList[#All],3,FALSE)</f>
        <v>3.5</v>
      </c>
      <c r="N311" s="14">
        <f t="shared" si="54"/>
        <v>0</v>
      </c>
      <c r="O311" s="1">
        <f t="shared" si="55"/>
        <v>0</v>
      </c>
      <c r="Q311" s="1">
        <f>MATCH($B$1,AssyMatrix[[#All],[Model '#]],0)</f>
        <v>9</v>
      </c>
      <c r="R311" s="1">
        <f>MATCH(I311,AssyMatrix[#Headers],0)</f>
        <v>44</v>
      </c>
    </row>
    <row r="312" spans="1:18" x14ac:dyDescent="0.3">
      <c r="B312" s="1">
        <v>8</v>
      </c>
      <c r="C312" s="1" t="str">
        <f>IF($O$315=0,"n/a","G5")</f>
        <v>n/a</v>
      </c>
      <c r="D312" s="1">
        <f>VLOOKUP(C312,GradeCharge[#All],2,FALSE)</f>
        <v>0</v>
      </c>
      <c r="E312" s="1">
        <f t="shared" si="58"/>
        <v>0</v>
      </c>
      <c r="I312" s="1" t="s">
        <v>201</v>
      </c>
      <c r="J312" s="1">
        <f>INDEX(AssyMatrix[#All],Q312,R312)</f>
        <v>0</v>
      </c>
      <c r="K312" s="14">
        <f>VLOOKUP(I312,AssyList[#All],4,FALSE)</f>
        <v>1201</v>
      </c>
      <c r="L312" s="1">
        <f>VLOOKUP(I312,AssyList[#All],3,FALSE)</f>
        <v>4.5</v>
      </c>
      <c r="N312" s="14">
        <f t="shared" si="54"/>
        <v>0</v>
      </c>
      <c r="O312" s="1">
        <f t="shared" si="55"/>
        <v>0</v>
      </c>
      <c r="Q312" s="1">
        <f>MATCH($B$1,AssyMatrix[[#All],[Model '#]],0)</f>
        <v>9</v>
      </c>
      <c r="R312" s="1">
        <f>MATCH(I312,AssyMatrix[#Headers],0)</f>
        <v>53</v>
      </c>
    </row>
    <row r="313" spans="1:18" x14ac:dyDescent="0.3">
      <c r="B313" s="1">
        <v>9</v>
      </c>
      <c r="C313" s="1" t="str">
        <f>IF($O$315=0,"n/a","G6")</f>
        <v>n/a</v>
      </c>
      <c r="D313" s="1">
        <f>VLOOKUP(C313,GradeCharge[#All],2,FALSE)</f>
        <v>0</v>
      </c>
      <c r="E313" s="1">
        <f t="shared" si="58"/>
        <v>0</v>
      </c>
      <c r="I313" s="1" t="s">
        <v>575</v>
      </c>
      <c r="J313" s="1">
        <f>INDEX(AssyMatrix[#All],Q313,R313)</f>
        <v>0</v>
      </c>
      <c r="K313" s="14">
        <f>VLOOKUP(I313,AssyList[#All],4,FALSE)</f>
        <v>666</v>
      </c>
      <c r="L313" s="1">
        <f>VLOOKUP(I313,AssyList[#All],3,FALSE)</f>
        <v>1.75</v>
      </c>
      <c r="N313" s="14">
        <f t="shared" ref="N313:N314" si="59">J313*K313</f>
        <v>0</v>
      </c>
      <c r="O313" s="1">
        <f t="shared" ref="O313:O314" si="60">J313*L313</f>
        <v>0</v>
      </c>
      <c r="Q313" s="1">
        <f>MATCH($B$1,AssyMatrix[[#All],[Model '#]],0)</f>
        <v>9</v>
      </c>
      <c r="R313" s="1">
        <f>MATCH(I313,AssyMatrix[#Headers],0)</f>
        <v>80</v>
      </c>
    </row>
    <row r="314" spans="1:18" x14ac:dyDescent="0.3">
      <c r="B314" s="1">
        <v>10</v>
      </c>
      <c r="C314" s="1" t="str">
        <f>IF($O$315=0,"n/a","G7")</f>
        <v>n/a</v>
      </c>
      <c r="D314" s="1">
        <f>VLOOKUP(C314,GradeCharge[#All],2,FALSE)</f>
        <v>0</v>
      </c>
      <c r="E314" s="1">
        <f t="shared" ref="E314:E316" si="61">D314*$O$315</f>
        <v>0</v>
      </c>
      <c r="I314" s="1" t="s">
        <v>576</v>
      </c>
      <c r="J314" s="1">
        <f>INDEX(AssyMatrix[#All],Q314,R314)</f>
        <v>0</v>
      </c>
      <c r="K314" s="14">
        <f>VLOOKUP(I314,AssyList[#All],4,FALSE)</f>
        <v>700</v>
      </c>
      <c r="L314" s="1">
        <f>VLOOKUP(I314,AssyList[#All],3,FALSE)</f>
        <v>1.5</v>
      </c>
      <c r="N314" s="14">
        <f t="shared" si="59"/>
        <v>0</v>
      </c>
      <c r="O314" s="1">
        <f t="shared" si="60"/>
        <v>0</v>
      </c>
      <c r="Q314" s="1">
        <f>MATCH($B$1,AssyMatrix[[#All],[Model '#]],0)</f>
        <v>9</v>
      </c>
      <c r="R314" s="1">
        <f>MATCH(I314,AssyMatrix[#Headers],0)</f>
        <v>81</v>
      </c>
    </row>
    <row r="315" spans="1:18" x14ac:dyDescent="0.3">
      <c r="B315" s="1">
        <v>11</v>
      </c>
      <c r="C315" s="1" t="str">
        <f>IF($O$315=0,"n/a","G8")</f>
        <v>n/a</v>
      </c>
      <c r="D315" s="1">
        <f>VLOOKUP(C315,GradeCharge[#All],2,FALSE)</f>
        <v>0</v>
      </c>
      <c r="E315" s="1">
        <f t="shared" si="61"/>
        <v>0</v>
      </c>
      <c r="I315" s="4" t="s">
        <v>125</v>
      </c>
      <c r="J315" s="4"/>
      <c r="K315" s="17"/>
      <c r="L315" s="4"/>
      <c r="N315" s="91">
        <f t="shared" ref="N315:O315" si="62">SUM(N302:N314)</f>
        <v>0</v>
      </c>
      <c r="O315" s="91">
        <f t="shared" si="62"/>
        <v>0</v>
      </c>
      <c r="Q315" s="4"/>
      <c r="R315" s="4"/>
    </row>
    <row r="316" spans="1:18" x14ac:dyDescent="0.3">
      <c r="B316" s="1">
        <v>12</v>
      </c>
      <c r="C316" s="1" t="str">
        <f>IF($O$315=0,"n/a","G8+")</f>
        <v>n/a</v>
      </c>
      <c r="D316" s="1">
        <f>VLOOKUP(C316,GradeCharge[#All],2,FALSE)</f>
        <v>0</v>
      </c>
      <c r="E316" s="1">
        <f t="shared" si="61"/>
        <v>0</v>
      </c>
    </row>
    <row r="318" spans="1:18" s="6" customFormat="1" x14ac:dyDescent="0.3">
      <c r="K318" s="19"/>
      <c r="N318" s="19"/>
    </row>
    <row r="320" spans="1:18" x14ac:dyDescent="0.3">
      <c r="A320" s="75" t="s">
        <v>273</v>
      </c>
      <c r="D320" s="14">
        <f>N342</f>
        <v>0</v>
      </c>
      <c r="I320" s="6" t="s">
        <v>106</v>
      </c>
      <c r="J320" s="6" t="s">
        <v>107</v>
      </c>
      <c r="K320" s="19" t="s">
        <v>109</v>
      </c>
      <c r="L320" s="6" t="s">
        <v>105</v>
      </c>
      <c r="N320" s="19" t="s">
        <v>124</v>
      </c>
      <c r="O320" s="6" t="s">
        <v>108</v>
      </c>
      <c r="Q320" s="6" t="s">
        <v>120</v>
      </c>
      <c r="R320" s="6" t="s">
        <v>121</v>
      </c>
    </row>
    <row r="321" spans="9:18" x14ac:dyDescent="0.3">
      <c r="I321" s="1" t="s">
        <v>191</v>
      </c>
      <c r="J321" s="1">
        <f>INDEX(AssyMatrix[#All],Q321,R321)</f>
        <v>0</v>
      </c>
      <c r="K321" s="14">
        <f>VLOOKUP(I321,AssyList[#All],4,FALSE)</f>
        <v>1463</v>
      </c>
      <c r="L321" s="1">
        <f>VLOOKUP(I321,AssyList[#All],3,FALSE)</f>
        <v>0</v>
      </c>
      <c r="N321" s="14">
        <f>J321*K321</f>
        <v>0</v>
      </c>
      <c r="O321" s="1">
        <f t="shared" ref="O321:O328" si="63">J321*L321</f>
        <v>0</v>
      </c>
      <c r="Q321" s="1">
        <f>MATCH($B$1,AssyMatrix[[#All],[Model '#]],0)</f>
        <v>9</v>
      </c>
      <c r="R321" s="1">
        <f>MATCH(I321,AssyMatrix[#Headers],0)</f>
        <v>54</v>
      </c>
    </row>
    <row r="322" spans="9:18" x14ac:dyDescent="0.3">
      <c r="I322" s="1" t="s">
        <v>192</v>
      </c>
      <c r="J322" s="5">
        <f>INDEX(AssyMatrix[#All],Q322,R322)</f>
        <v>0</v>
      </c>
      <c r="K322" s="14">
        <f>VLOOKUP(I322,AssyList[#All],4,FALSE)</f>
        <v>2915</v>
      </c>
      <c r="L322" s="1">
        <f>VLOOKUP(I322,AssyList[#All],3,FALSE)</f>
        <v>0</v>
      </c>
      <c r="N322" s="14">
        <f t="shared" ref="N322:N340" si="64">J322*K322</f>
        <v>0</v>
      </c>
      <c r="O322" s="1">
        <f t="shared" si="63"/>
        <v>0</v>
      </c>
      <c r="Q322" s="1">
        <f>MATCH($B$1,AssyMatrix[[#All],[Model '#]],0)</f>
        <v>9</v>
      </c>
      <c r="R322" s="1">
        <f>MATCH(I322,AssyMatrix[#Headers],0)</f>
        <v>55</v>
      </c>
    </row>
    <row r="323" spans="9:18" x14ac:dyDescent="0.3">
      <c r="I323" s="1" t="s">
        <v>193</v>
      </c>
      <c r="J323" s="5">
        <f>INDEX(AssyMatrix[#All],Q323,R323)</f>
        <v>0</v>
      </c>
      <c r="K323" s="14">
        <f>VLOOKUP(I323,AssyList[#All],4,FALSE)</f>
        <v>2619</v>
      </c>
      <c r="L323" s="1">
        <f>VLOOKUP(I323,AssyList[#All],3,FALSE)</f>
        <v>0</v>
      </c>
      <c r="N323" s="14">
        <f t="shared" si="64"/>
        <v>0</v>
      </c>
      <c r="O323" s="1">
        <f t="shared" si="63"/>
        <v>0</v>
      </c>
      <c r="Q323" s="1">
        <f>MATCH($B$1,AssyMatrix[[#All],[Model '#]],0)</f>
        <v>9</v>
      </c>
      <c r="R323" s="1">
        <f>MATCH(I323,AssyMatrix[#Headers],0)</f>
        <v>56</v>
      </c>
    </row>
    <row r="324" spans="9:18" x14ac:dyDescent="0.3">
      <c r="I324" s="1" t="s">
        <v>194</v>
      </c>
      <c r="J324" s="5">
        <f>INDEX(AssyMatrix[#All],Q324,R324)</f>
        <v>0</v>
      </c>
      <c r="K324" s="14">
        <f>VLOOKUP(I324,AssyList[#All],4,FALSE)</f>
        <v>2965</v>
      </c>
      <c r="L324" s="1">
        <f>VLOOKUP(I324,AssyList[#All],3,FALSE)</f>
        <v>0</v>
      </c>
      <c r="N324" s="14">
        <f t="shared" si="64"/>
        <v>0</v>
      </c>
      <c r="O324" s="1">
        <f t="shared" si="63"/>
        <v>0</v>
      </c>
      <c r="Q324" s="1">
        <f>MATCH($B$1,AssyMatrix[[#All],[Model '#]],0)</f>
        <v>9</v>
      </c>
      <c r="R324" s="1">
        <f>MATCH(I324,AssyMatrix[#Headers],0)</f>
        <v>57</v>
      </c>
    </row>
    <row r="325" spans="9:18" x14ac:dyDescent="0.3">
      <c r="I325" s="3" t="s">
        <v>195</v>
      </c>
      <c r="J325" s="5">
        <f>INDEX(AssyMatrix[#All],Q325,R325)</f>
        <v>0</v>
      </c>
      <c r="K325" s="14">
        <f>VLOOKUP(I325,AssyList[#All],4,FALSE)</f>
        <v>3274</v>
      </c>
      <c r="L325" s="1">
        <f>VLOOKUP(I325,AssyList[#All],3,FALSE)</f>
        <v>0</v>
      </c>
      <c r="N325" s="14">
        <f t="shared" si="64"/>
        <v>0</v>
      </c>
      <c r="O325" s="1">
        <f t="shared" si="63"/>
        <v>0</v>
      </c>
      <c r="Q325" s="1">
        <f>MATCH($B$1,AssyMatrix[[#All],[Model '#]],0)</f>
        <v>9</v>
      </c>
      <c r="R325" s="1">
        <f>MATCH(I325,AssyMatrix[#Headers],0)</f>
        <v>58</v>
      </c>
    </row>
    <row r="326" spans="9:18" x14ac:dyDescent="0.3">
      <c r="I326" s="1" t="s">
        <v>196</v>
      </c>
      <c r="J326" s="5">
        <f>INDEX(AssyMatrix[#All],Q326,R326)</f>
        <v>0</v>
      </c>
      <c r="K326" s="14">
        <f>VLOOKUP(I326,AssyList[#All],4,FALSE)</f>
        <v>3620</v>
      </c>
      <c r="L326" s="1">
        <f>VLOOKUP(I326,AssyList[#All],3,FALSE)</f>
        <v>0</v>
      </c>
      <c r="N326" s="14">
        <f t="shared" si="64"/>
        <v>0</v>
      </c>
      <c r="O326" s="1">
        <f t="shared" si="63"/>
        <v>0</v>
      </c>
      <c r="Q326" s="1">
        <f>MATCH($B$1,AssyMatrix[[#All],[Model '#]],0)</f>
        <v>9</v>
      </c>
      <c r="R326" s="1">
        <f>MATCH(I326,AssyMatrix[#Headers],0)</f>
        <v>59</v>
      </c>
    </row>
    <row r="327" spans="9:18" x14ac:dyDescent="0.3">
      <c r="I327" s="1" t="s">
        <v>259</v>
      </c>
      <c r="J327" s="5">
        <f>INDEX(AssyMatrix[#All],Q327,R327)</f>
        <v>0</v>
      </c>
      <c r="K327" s="14">
        <f>VLOOKUP(I327,AssyList[#All],4,FALSE)</f>
        <v>3317</v>
      </c>
      <c r="L327" s="1">
        <f>VLOOKUP(I327,AssyList[#All],3,FALSE)</f>
        <v>0</v>
      </c>
      <c r="N327" s="14">
        <f t="shared" si="64"/>
        <v>0</v>
      </c>
      <c r="O327" s="1">
        <f t="shared" si="63"/>
        <v>0</v>
      </c>
      <c r="Q327" s="1">
        <f>MATCH($B$1,AssyMatrix[[#All],[Model '#]],0)</f>
        <v>9</v>
      </c>
      <c r="R327" s="1">
        <f>MATCH(I327,AssyMatrix[#Headers],0)</f>
        <v>64</v>
      </c>
    </row>
    <row r="328" spans="9:18" x14ac:dyDescent="0.3">
      <c r="I328" s="1" t="s">
        <v>260</v>
      </c>
      <c r="J328" s="5">
        <f>INDEX(AssyMatrix[#All],Q328,R328)</f>
        <v>0</v>
      </c>
      <c r="K328" s="14">
        <f>VLOOKUP(I328,AssyList[#All],4,FALSE)</f>
        <v>3662</v>
      </c>
      <c r="L328" s="1">
        <f>VLOOKUP(I328,AssyList[#All],3,FALSE)</f>
        <v>0</v>
      </c>
      <c r="N328" s="14">
        <f t="shared" si="64"/>
        <v>0</v>
      </c>
      <c r="O328" s="1">
        <f t="shared" si="63"/>
        <v>0</v>
      </c>
      <c r="Q328" s="1">
        <f>MATCH($B$1,AssyMatrix[[#All],[Model '#]],0)</f>
        <v>9</v>
      </c>
      <c r="R328" s="1">
        <f>MATCH(I328,AssyMatrix[#Headers],0)</f>
        <v>65</v>
      </c>
    </row>
    <row r="329" spans="9:18" x14ac:dyDescent="0.3">
      <c r="I329" s="1" t="s">
        <v>197</v>
      </c>
      <c r="J329" s="5">
        <f>INDEX(AssyMatrix[#All],Q329,R329)</f>
        <v>0</v>
      </c>
      <c r="K329" s="14">
        <f>VLOOKUP(I329,AssyList[#All],4,FALSE)</f>
        <v>1258</v>
      </c>
      <c r="L329" s="1">
        <f>VLOOKUP(I329,AssyList[#All],3,FALSE)</f>
        <v>0</v>
      </c>
      <c r="N329" s="14">
        <f t="shared" si="64"/>
        <v>0</v>
      </c>
      <c r="O329" s="1">
        <f t="shared" ref="O329:O340" si="65">J329*L329</f>
        <v>0</v>
      </c>
      <c r="Q329" s="1">
        <f>MATCH($B$1,AssyMatrix[[#All],[Model '#]],0)</f>
        <v>9</v>
      </c>
      <c r="R329" s="1">
        <f>MATCH(I329,AssyMatrix[#Headers],0)</f>
        <v>60</v>
      </c>
    </row>
    <row r="330" spans="9:18" x14ac:dyDescent="0.3">
      <c r="I330" s="1" t="s">
        <v>198</v>
      </c>
      <c r="J330" s="5">
        <f>INDEX(AssyMatrix[#All],Q330,R330)</f>
        <v>0</v>
      </c>
      <c r="K330" s="14">
        <f>VLOOKUP(I330,AssyList[#All],4,FALSE)</f>
        <v>1258</v>
      </c>
      <c r="L330" s="1">
        <f>VLOOKUP(I330,AssyList[#All],3,FALSE)</f>
        <v>0</v>
      </c>
      <c r="N330" s="14">
        <f t="shared" si="64"/>
        <v>0</v>
      </c>
      <c r="O330" s="1">
        <f t="shared" si="65"/>
        <v>0</v>
      </c>
      <c r="Q330" s="1">
        <f>MATCH($B$1,AssyMatrix[[#All],[Model '#]],0)</f>
        <v>9</v>
      </c>
      <c r="R330" s="1">
        <f>MATCH(I330,AssyMatrix[#Headers],0)</f>
        <v>61</v>
      </c>
    </row>
    <row r="331" spans="9:18" x14ac:dyDescent="0.3">
      <c r="I331" s="1" t="s">
        <v>199</v>
      </c>
      <c r="J331" s="5">
        <f>INDEX(AssyMatrix[#All],Q331,R331)</f>
        <v>0</v>
      </c>
      <c r="K331" s="14">
        <f>VLOOKUP(I331,AssyList[#All],4,FALSE)</f>
        <v>2037</v>
      </c>
      <c r="L331" s="1">
        <f>VLOOKUP(I331,AssyList[#All],3,FALSE)</f>
        <v>0</v>
      </c>
      <c r="N331" s="14">
        <f t="shared" si="64"/>
        <v>0</v>
      </c>
      <c r="O331" s="1">
        <f t="shared" si="65"/>
        <v>0</v>
      </c>
      <c r="Q331" s="1">
        <f>MATCH($B$1,AssyMatrix[[#All],[Model '#]],0)</f>
        <v>9</v>
      </c>
      <c r="R331" s="1">
        <f>MATCH(I331,AssyMatrix[#Headers],0)</f>
        <v>62</v>
      </c>
    </row>
    <row r="332" spans="9:18" x14ac:dyDescent="0.3">
      <c r="I332" s="1" t="s">
        <v>200</v>
      </c>
      <c r="J332" s="5">
        <f>INDEX(AssyMatrix[#All],Q332,R332)</f>
        <v>0</v>
      </c>
      <c r="K332" s="14">
        <f>VLOOKUP(I332,AssyList[#All],4,FALSE)</f>
        <v>2037</v>
      </c>
      <c r="L332" s="1">
        <f>VLOOKUP(I332,AssyList[#All],3,FALSE)</f>
        <v>0</v>
      </c>
      <c r="N332" s="14">
        <f t="shared" si="64"/>
        <v>0</v>
      </c>
      <c r="O332" s="1">
        <f t="shared" si="65"/>
        <v>0</v>
      </c>
      <c r="Q332" s="1">
        <f>MATCH($B$1,AssyMatrix[[#All],[Model '#]],0)</f>
        <v>9</v>
      </c>
      <c r="R332" s="1">
        <f>MATCH(I332,AssyMatrix[#Headers],0)</f>
        <v>63</v>
      </c>
    </row>
    <row r="333" spans="9:18" x14ac:dyDescent="0.3">
      <c r="I333" s="1" t="s">
        <v>261</v>
      </c>
      <c r="J333" s="5">
        <f>INDEX(AssyMatrix[#All],Q333,R333)</f>
        <v>0</v>
      </c>
      <c r="K333" s="14">
        <f>VLOOKUP(I333,AssyList[#All],4,FALSE)</f>
        <v>2082</v>
      </c>
      <c r="L333" s="1">
        <f>VLOOKUP(I333,AssyList[#All],3,FALSE)</f>
        <v>0</v>
      </c>
      <c r="N333" s="14">
        <f t="shared" si="64"/>
        <v>0</v>
      </c>
      <c r="O333" s="1">
        <f t="shared" si="65"/>
        <v>0</v>
      </c>
      <c r="Q333" s="1">
        <f>MATCH($B$1,AssyMatrix[[#All],[Model '#]],0)</f>
        <v>9</v>
      </c>
      <c r="R333" s="1">
        <f>MATCH(I333,AssyMatrix[#Headers],0)</f>
        <v>66</v>
      </c>
    </row>
    <row r="334" spans="9:18" x14ac:dyDescent="0.3">
      <c r="I334" s="1" t="s">
        <v>262</v>
      </c>
      <c r="J334" s="5">
        <f>INDEX(AssyMatrix[#All],Q334,R334)</f>
        <v>0</v>
      </c>
      <c r="K334" s="14">
        <f>VLOOKUP(I334,AssyList[#All],4,FALSE)</f>
        <v>2082</v>
      </c>
      <c r="L334" s="1">
        <f>VLOOKUP(I334,AssyList[#All],3,FALSE)</f>
        <v>0</v>
      </c>
      <c r="N334" s="14">
        <f t="shared" ref="N334:N339" si="66">J334*K334</f>
        <v>0</v>
      </c>
      <c r="O334" s="1">
        <f t="shared" ref="O334:O339" si="67">J334*L334</f>
        <v>0</v>
      </c>
      <c r="Q334" s="1">
        <f>MATCH($B$1,AssyMatrix[[#All],[Model '#]],0)</f>
        <v>9</v>
      </c>
      <c r="R334" s="1">
        <f>MATCH(I334,AssyMatrix[#Headers],0)</f>
        <v>67</v>
      </c>
    </row>
    <row r="335" spans="9:18" x14ac:dyDescent="0.3">
      <c r="I335" s="1" t="s">
        <v>531</v>
      </c>
      <c r="J335" s="5">
        <f>INDEX(AssyMatrix[#All],Q335,R335)</f>
        <v>0</v>
      </c>
      <c r="K335" s="14">
        <f>VLOOKUP(I335,AssyList[#All],4,FALSE)</f>
        <v>2657</v>
      </c>
      <c r="L335" s="1">
        <f>VLOOKUP(I335,AssyList[#All],3,FALSE)</f>
        <v>0</v>
      </c>
      <c r="N335" s="14">
        <f t="shared" si="66"/>
        <v>0</v>
      </c>
      <c r="O335" s="1">
        <f t="shared" si="67"/>
        <v>0</v>
      </c>
      <c r="Q335" s="1">
        <f>MATCH($B$1,AssyMatrix[[#All],[Model '#]],0)</f>
        <v>9</v>
      </c>
      <c r="R335" s="1">
        <f>MATCH(I335,AssyMatrix[#Headers],0)</f>
        <v>68</v>
      </c>
    </row>
    <row r="336" spans="9:18" x14ac:dyDescent="0.3">
      <c r="I336" s="1" t="s">
        <v>533</v>
      </c>
      <c r="J336" s="5">
        <f>INDEX(AssyMatrix[#All],Q336,R336)</f>
        <v>0</v>
      </c>
      <c r="K336" s="14">
        <f>VLOOKUP(I336,AssyList[#All],4,FALSE)</f>
        <v>3310</v>
      </c>
      <c r="L336" s="1">
        <f>VLOOKUP(I336,AssyList[#All],3,FALSE)</f>
        <v>0</v>
      </c>
      <c r="N336" s="14">
        <f t="shared" si="66"/>
        <v>0</v>
      </c>
      <c r="O336" s="1">
        <f t="shared" si="67"/>
        <v>0</v>
      </c>
      <c r="Q336" s="1">
        <f>MATCH($B$1,AssyMatrix[[#All],[Model '#]],0)</f>
        <v>9</v>
      </c>
      <c r="R336" s="1">
        <f>MATCH(I336,AssyMatrix[#Headers],0)</f>
        <v>69</v>
      </c>
    </row>
    <row r="337" spans="1:18" x14ac:dyDescent="0.3">
      <c r="I337" s="1" t="s">
        <v>535</v>
      </c>
      <c r="J337" s="5">
        <f>INDEX(AssyMatrix[#All],Q337,R337)</f>
        <v>0</v>
      </c>
      <c r="K337" s="14">
        <f>VLOOKUP(I337,AssyList[#All],4,FALSE)</f>
        <v>3354</v>
      </c>
      <c r="L337" s="1">
        <f>VLOOKUP(I337,AssyList[#All],3,FALSE)</f>
        <v>0</v>
      </c>
      <c r="N337" s="14">
        <f t="shared" si="66"/>
        <v>0</v>
      </c>
      <c r="O337" s="1">
        <f t="shared" si="67"/>
        <v>0</v>
      </c>
      <c r="Q337" s="1">
        <f>MATCH($B$1,AssyMatrix[[#All],[Model '#]],0)</f>
        <v>9</v>
      </c>
      <c r="R337" s="1">
        <f>MATCH(I337,AssyMatrix[#Headers],0)</f>
        <v>70</v>
      </c>
    </row>
    <row r="338" spans="1:18" x14ac:dyDescent="0.3">
      <c r="I338" s="1" t="s">
        <v>537</v>
      </c>
      <c r="J338" s="5">
        <f>INDEX(AssyMatrix[#All],Q338,R338)</f>
        <v>0</v>
      </c>
      <c r="K338" s="14">
        <f>VLOOKUP(I338,AssyList[#All],4,FALSE)</f>
        <v>1258</v>
      </c>
      <c r="L338" s="1">
        <f>VLOOKUP(I338,AssyList[#All],3,FALSE)</f>
        <v>0</v>
      </c>
      <c r="N338" s="14">
        <f t="shared" si="66"/>
        <v>0</v>
      </c>
      <c r="O338" s="1">
        <f t="shared" si="67"/>
        <v>0</v>
      </c>
      <c r="Q338" s="1">
        <f>MATCH($B$1,AssyMatrix[[#All],[Model '#]],0)</f>
        <v>9</v>
      </c>
      <c r="R338" s="1">
        <f>MATCH(I338,AssyMatrix[#Headers],0)</f>
        <v>71</v>
      </c>
    </row>
    <row r="339" spans="1:18" x14ac:dyDescent="0.3">
      <c r="I339" s="1" t="s">
        <v>538</v>
      </c>
      <c r="J339" s="5">
        <f>INDEX(AssyMatrix[#All],Q339,R339)</f>
        <v>0</v>
      </c>
      <c r="K339" s="14">
        <f>VLOOKUP(I339,AssyList[#All],4,FALSE)</f>
        <v>2037</v>
      </c>
      <c r="L339" s="1">
        <f>VLOOKUP(I339,AssyList[#All],3,FALSE)</f>
        <v>0</v>
      </c>
      <c r="N339" s="14">
        <f t="shared" si="66"/>
        <v>0</v>
      </c>
      <c r="O339" s="1">
        <f t="shared" si="67"/>
        <v>0</v>
      </c>
      <c r="Q339" s="1">
        <f>MATCH($B$1,AssyMatrix[[#All],[Model '#]],0)</f>
        <v>9</v>
      </c>
      <c r="R339" s="1">
        <f>MATCH(I339,AssyMatrix[#Headers],0)</f>
        <v>72</v>
      </c>
    </row>
    <row r="340" spans="1:18" x14ac:dyDescent="0.3">
      <c r="I340" s="1" t="s">
        <v>539</v>
      </c>
      <c r="J340" s="5">
        <f>INDEX(AssyMatrix[#All],Q340,R340)</f>
        <v>0</v>
      </c>
      <c r="K340" s="14">
        <f>VLOOKUP(I340,AssyList[#All],4,FALSE)</f>
        <v>2082</v>
      </c>
      <c r="L340" s="1">
        <f>VLOOKUP(I340,AssyList[#All],3,FALSE)</f>
        <v>0</v>
      </c>
      <c r="N340" s="14">
        <f t="shared" si="64"/>
        <v>0</v>
      </c>
      <c r="O340" s="1">
        <f t="shared" si="65"/>
        <v>0</v>
      </c>
      <c r="Q340" s="1">
        <f>MATCH($B$1,AssyMatrix[[#All],[Model '#]],0)</f>
        <v>9</v>
      </c>
      <c r="R340" s="1">
        <f>MATCH(I340,AssyMatrix[#Headers],0)</f>
        <v>73</v>
      </c>
    </row>
    <row r="341" spans="1:18" x14ac:dyDescent="0.3">
      <c r="I341" s="1" t="s">
        <v>577</v>
      </c>
      <c r="J341" s="5">
        <f>INDEX(AssyMatrix[#All],Q341,R341)</f>
        <v>0</v>
      </c>
      <c r="K341" s="14">
        <f>VLOOKUP(I341,AssyList[#All],4,FALSE)</f>
        <v>1463</v>
      </c>
      <c r="L341" s="1">
        <f>VLOOKUP(I341,AssyList[#All],3,FALSE)</f>
        <v>0</v>
      </c>
      <c r="N341" s="14">
        <f t="shared" ref="N341" si="68">J341*K341</f>
        <v>0</v>
      </c>
      <c r="O341" s="1">
        <f t="shared" ref="O341" si="69">J341*L341</f>
        <v>0</v>
      </c>
      <c r="Q341" s="1">
        <f>MATCH($B$1,AssyMatrix[[#All],[Model '#]],0)</f>
        <v>9</v>
      </c>
      <c r="R341" s="1">
        <f>MATCH(I341,AssyMatrix[#Headers],0)</f>
        <v>82</v>
      </c>
    </row>
    <row r="342" spans="1:18" x14ac:dyDescent="0.3">
      <c r="I342" s="4" t="s">
        <v>125</v>
      </c>
      <c r="J342" s="4"/>
      <c r="K342" s="17"/>
      <c r="L342" s="4"/>
      <c r="N342" s="91">
        <f t="shared" ref="N342:O342" si="70">SUM(N321:N341)</f>
        <v>0</v>
      </c>
      <c r="O342" s="91">
        <f t="shared" si="70"/>
        <v>0</v>
      </c>
      <c r="Q342" s="4"/>
      <c r="R342" s="4"/>
    </row>
    <row r="343" spans="1:18" s="6" customFormat="1" x14ac:dyDescent="0.3">
      <c r="K343" s="19"/>
      <c r="N343" s="19"/>
    </row>
    <row r="345" spans="1:18" x14ac:dyDescent="0.3">
      <c r="A345" s="75" t="s">
        <v>444</v>
      </c>
    </row>
    <row r="347" spans="1:18" x14ac:dyDescent="0.3">
      <c r="B347" s="15"/>
      <c r="C347" s="13" t="s">
        <v>104</v>
      </c>
    </row>
    <row r="348" spans="1:18" x14ac:dyDescent="0.3">
      <c r="B348" s="15" t="s">
        <v>247</v>
      </c>
      <c r="C348" s="13">
        <v>14</v>
      </c>
    </row>
    <row r="349" spans="1:18" x14ac:dyDescent="0.3">
      <c r="B349" s="15" t="s">
        <v>248</v>
      </c>
      <c r="C349" s="13">
        <v>10</v>
      </c>
    </row>
    <row r="350" spans="1:18" x14ac:dyDescent="0.3">
      <c r="B350" s="15" t="s">
        <v>249</v>
      </c>
      <c r="C350" s="13">
        <v>10</v>
      </c>
    </row>
    <row r="351" spans="1:18" x14ac:dyDescent="0.3">
      <c r="B351" s="15" t="s">
        <v>250</v>
      </c>
      <c r="C351" s="13">
        <v>10</v>
      </c>
    </row>
    <row r="352" spans="1:18" x14ac:dyDescent="0.3">
      <c r="B352" s="15" t="s">
        <v>251</v>
      </c>
      <c r="C352" s="13">
        <v>10</v>
      </c>
    </row>
    <row r="353" spans="2:3" x14ac:dyDescent="0.3">
      <c r="B353" s="15" t="s">
        <v>252</v>
      </c>
      <c r="C353" s="13">
        <v>12</v>
      </c>
    </row>
    <row r="354" spans="2:3" x14ac:dyDescent="0.3">
      <c r="B354" s="15" t="s">
        <v>253</v>
      </c>
      <c r="C354" s="13">
        <v>1</v>
      </c>
    </row>
    <row r="355" spans="2:3" x14ac:dyDescent="0.3">
      <c r="B355" s="15" t="s">
        <v>254</v>
      </c>
      <c r="C355" s="13">
        <f>C349</f>
        <v>10</v>
      </c>
    </row>
    <row r="356" spans="2:3" x14ac:dyDescent="0.3">
      <c r="B356" s="15"/>
      <c r="C356" s="13"/>
    </row>
    <row r="357" spans="2:3" x14ac:dyDescent="0.3">
      <c r="B357" s="15" t="s">
        <v>275</v>
      </c>
      <c r="C357" s="13">
        <v>1</v>
      </c>
    </row>
    <row r="358" spans="2:3" x14ac:dyDescent="0.3">
      <c r="B358" s="15"/>
      <c r="C358" s="13"/>
    </row>
    <row r="359" spans="2:3" x14ac:dyDescent="0.3">
      <c r="B359" s="15" t="s">
        <v>277</v>
      </c>
      <c r="C359" s="13" t="str">
        <f>VLOOKUP(C348,B5:E181,4,FALSE)</f>
        <v>six</v>
      </c>
    </row>
  </sheetData>
  <autoFilter ref="A4:E181"/>
  <sortState ref="A5:E243">
    <sortCondition ref="C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T181"/>
  <sheetViews>
    <sheetView showGridLines="0" zoomScale="85" zoomScaleNormal="85" workbookViewId="0">
      <pane xSplit="2" ySplit="2" topLeftCell="BJ6" activePane="bottomRight" state="frozen"/>
      <selection pane="topRight" activeCell="C1" sqref="C1"/>
      <selection pane="bottomLeft" activeCell="A3" sqref="A3"/>
      <selection pane="bottomRight" activeCell="B46" sqref="B46"/>
    </sheetView>
  </sheetViews>
  <sheetFormatPr defaultColWidth="9.33203125" defaultRowHeight="14.4" x14ac:dyDescent="0.3"/>
  <cols>
    <col min="1" max="1" width="16" style="7" bestFit="1" customWidth="1"/>
    <col min="2" max="2" width="105.33203125" style="7" bestFit="1" customWidth="1"/>
    <col min="3" max="18" width="11.33203125" style="8" customWidth="1"/>
    <col min="19" max="20" width="11.33203125" style="87" customWidth="1"/>
    <col min="21" max="63" width="11.33203125" style="8" customWidth="1"/>
    <col min="64" max="64" width="11.33203125" style="87" customWidth="1"/>
    <col min="65" max="66" width="11.33203125" style="8" customWidth="1"/>
    <col min="67" max="67" width="11.33203125" style="87" customWidth="1"/>
    <col min="68" max="74" width="11.33203125" style="8" customWidth="1"/>
    <col min="75" max="95" width="11.33203125" style="7" customWidth="1"/>
    <col min="96" max="96" width="11.33203125" style="8" customWidth="1"/>
    <col min="97" max="97" width="11.33203125" style="7" customWidth="1"/>
    <col min="98" max="16384" width="9.33203125" style="7"/>
  </cols>
  <sheetData>
    <row r="1" spans="1:98" x14ac:dyDescent="0.3">
      <c r="C1" s="8">
        <f>VLOOKUP(AssyMatrix[[#Headers],[Assy001]],AssyList[[Assy '#]:[COM]],4,FALSE)</f>
        <v>2132</v>
      </c>
      <c r="D1" s="8">
        <f>VLOOKUP(AssyMatrix[[#Headers],[Assy001BC]],AssyList[[Assy '#]:[COM]],4,FALSE)</f>
        <v>0</v>
      </c>
      <c r="E1" s="8">
        <f>VLOOKUP(AssyMatrix[[#Headers],[Assy001SCT]],AssyList[[Assy '#]:[COM]],4,FALSE)</f>
        <v>0</v>
      </c>
      <c r="F1" s="8">
        <f>VLOOKUP(AssyMatrix[[#Headers],[Assy001SCB]],AssyList[[Assy '#]:[COM]],4,FALSE)</f>
        <v>0</v>
      </c>
      <c r="G1" s="8">
        <f>VLOOKUP(AssyMatrix[[#Headers],[Assy001BP]],AssyList[[Assy '#]:[COM]],4,FALSE)</f>
        <v>0</v>
      </c>
      <c r="H1" s="8">
        <f>VLOOKUP(AssyMatrix[[#Headers],[Assy002]],AssyList[[Assy '#]:[COM]],4,FALSE)</f>
        <v>1220</v>
      </c>
      <c r="I1" s="8">
        <f>VLOOKUP(AssyMatrix[[#Headers],[Assy003]],AssyList[[Assy '#]:[COM]],4,FALSE)</f>
        <v>2892</v>
      </c>
      <c r="J1" s="8">
        <f>VLOOKUP(AssyMatrix[[#Headers],[Assy003BC]],AssyList[[Assy '#]:[COM]],4,FALSE)</f>
        <v>0</v>
      </c>
      <c r="K1" s="8">
        <f>VLOOKUP(AssyMatrix[[#Headers],[Assy003SCT]],AssyList[[Assy '#]:[COM]],4,FALSE)</f>
        <v>0</v>
      </c>
      <c r="L1" s="8">
        <f>VLOOKUP(AssyMatrix[[#Headers],[Assy003SCB]],AssyList[[Assy '#]:[COM]],4,FALSE)</f>
        <v>0</v>
      </c>
      <c r="M1" s="8">
        <f>VLOOKUP(AssyMatrix[[#Headers],[Assy003BP]],AssyList[[Assy '#]:[COM]],4,FALSE)</f>
        <v>0</v>
      </c>
      <c r="N1" s="8">
        <f>VLOOKUP(AssyMatrix[[#Headers],[Assy004]],AssyList[[Assy '#]:[COM]],4,FALSE)</f>
        <v>2848</v>
      </c>
      <c r="O1" s="8" t="e">
        <f>VLOOKUP(AssyMatrix[[#Headers],[Assy004BC]],AssyList[[Assy '#]:[COM]],4,FALSE)</f>
        <v>#VALUE!</v>
      </c>
      <c r="P1" s="8">
        <f>VLOOKUP(AssyMatrix[[#Headers],[Assy004SCT]],AssyList[[Assy '#]:[COM]],4,FALSE)</f>
        <v>0</v>
      </c>
      <c r="Q1" s="8">
        <f>VLOOKUP(AssyMatrix[[#Headers],[Assy004SCB]],AssyList[[Assy '#]:[COM]],4,FALSE)</f>
        <v>0</v>
      </c>
      <c r="R1" s="8">
        <f>VLOOKUP(AssyMatrix[[#Headers],[Assy004BP]],AssyList[[Assy '#]:[COM]],4,FALSE)</f>
        <v>0</v>
      </c>
      <c r="S1" s="8">
        <f>VLOOKUP(AssyMatrix[[#Headers],[Assy006]],AssyList[[Assy '#]:[COM]],4,FALSE)</f>
        <v>1415</v>
      </c>
      <c r="T1" s="8">
        <f>VLOOKUP(AssyMatrix[[#Headers],[Assy008]],AssyList[[Assy '#]:[COM]],4,FALSE)</f>
        <v>3523</v>
      </c>
      <c r="U1" s="8">
        <f>VLOOKUP(AssyMatrix[[#Headers],[Assy008BC]],AssyList[[Assy '#]:[COM]],4,FALSE)</f>
        <v>0</v>
      </c>
      <c r="V1" s="8">
        <f>VLOOKUP(AssyMatrix[[#Headers],[Assy008SCT]],AssyList[[Assy '#]:[COM]],4,FALSE)</f>
        <v>0</v>
      </c>
      <c r="W1" s="8">
        <f>VLOOKUP(AssyMatrix[[#Headers],[Assy008SCB]],AssyList[[Assy '#]:[COM]],4,FALSE)</f>
        <v>0</v>
      </c>
      <c r="X1" s="8">
        <f>VLOOKUP(AssyMatrix[[#Headers],[Assy008BP]],AssyList[[Assy '#]:[COM]],4,FALSE)</f>
        <v>0</v>
      </c>
      <c r="Y1" s="8">
        <f>VLOOKUP(AssyMatrix[[#Headers],[Assy009]],AssyList[[Assy '#]:[COM]],4,FALSE)</f>
        <v>1446</v>
      </c>
      <c r="Z1" s="8">
        <f>VLOOKUP(AssyMatrix[[#Headers],[Assy033]],AssyList[[Assy '#]:[COM]],4,FALSE)</f>
        <v>0</v>
      </c>
      <c r="AA1" s="8">
        <f>VLOOKUP(AssyMatrix[[#Headers],[Assy010U]],AssyList[[Assy '#]:[COM]],4,FALSE)</f>
        <v>472</v>
      </c>
      <c r="AB1" s="8">
        <f>VLOOKUP(AssyMatrix[[#Headers],[Assy011U]],AssyList[[Assy '#]:[COM]],4,FALSE)</f>
        <v>640</v>
      </c>
      <c r="AC1" s="8">
        <f>VLOOKUP(AssyMatrix[[#Headers],[Assy012U]],AssyList[[Assy '#]:[COM]],4,FALSE)</f>
        <v>700</v>
      </c>
      <c r="AD1" s="8">
        <f>VLOOKUP(AssyMatrix[[#Headers],[Assy013U]],AssyList[[Assy '#]:[COM]],4,FALSE)</f>
        <v>781</v>
      </c>
      <c r="AE1" s="8">
        <f>VLOOKUP(AssyMatrix[[#Headers],[Assy010V]],AssyList[[Assy '#]:[COM]],4,FALSE)</f>
        <v>912</v>
      </c>
      <c r="AF1" s="8">
        <f>VLOOKUP(AssyMatrix[[#Headers],[Assy011V]],AssyList[[Assy '#]:[COM]],4,FALSE)</f>
        <v>1655</v>
      </c>
      <c r="AG1" s="8">
        <f>VLOOKUP(AssyMatrix[[#Headers],[Assy012V]],AssyList[[Assy '#]:[COM]],4,FALSE)</f>
        <v>1736</v>
      </c>
      <c r="AH1" s="8">
        <f>VLOOKUP(AssyMatrix[[#Headers],[Assy013V]],AssyList[[Assy '#]:[COM]],4,FALSE)</f>
        <v>1775</v>
      </c>
      <c r="AI1" s="8">
        <f>VLOOKUP(AssyMatrix[[#Headers],[Assy010L]],AssyList[[Assy '#]:[COM]],4,FALSE)</f>
        <v>912</v>
      </c>
      <c r="AJ1" s="8">
        <f>VLOOKUP(AssyMatrix[[#Headers],[Assy011L]],AssyList[[Assy '#]:[COM]],4,FALSE)</f>
        <v>1655</v>
      </c>
      <c r="AK1" s="8">
        <f>VLOOKUP(AssyMatrix[[#Headers],[Assy012L]],AssyList[[Assy '#]:[COM]],4,FALSE)</f>
        <v>1736</v>
      </c>
      <c r="AL1" s="8">
        <f>VLOOKUP(AssyMatrix[[#Headers],[Assy013L]],AssyList[[Assy '#]:[COM]],4,FALSE)</f>
        <v>1775</v>
      </c>
      <c r="AM1" s="8">
        <f>VLOOKUP(AssyMatrix[[#Headers],[Assy010W]],AssyList[[Assy '#]:[COM]],4,FALSE)</f>
        <v>912</v>
      </c>
      <c r="AN1" s="8">
        <f>VLOOKUP(AssyMatrix[[#Headers],[Assy011W]],AssyList[[Assy '#]:[COM]],4,FALSE)</f>
        <v>1655</v>
      </c>
      <c r="AO1" s="8">
        <f>VLOOKUP(AssyMatrix[[#Headers],[Assy012W]],AssyList[[Assy '#]:[COM]],4,FALSE)</f>
        <v>1736</v>
      </c>
      <c r="AP1" s="8">
        <f>VLOOKUP(AssyMatrix[[#Headers],[Assy013W]],AssyList[[Assy '#]:[COM]],4,FALSE)</f>
        <v>1775</v>
      </c>
      <c r="AQ1" s="8">
        <f>VLOOKUP(AssyMatrix[[#Headers],[Assy005]],AssyList[[Assy '#]:[COM]],4,FALSE)</f>
        <v>1131</v>
      </c>
      <c r="AR1" s="8">
        <f>VLOOKUP(AssyMatrix[[#Headers],[Assy007]],AssyList[[Assy '#]:[COM]],4,FALSE)</f>
        <v>1052</v>
      </c>
      <c r="AS1" s="8">
        <f>VLOOKUP(AssyMatrix[[#Headers],[Assy014]],AssyList[[Assy '#]:[COM]],4,FALSE)</f>
        <v>666</v>
      </c>
      <c r="AT1" s="8">
        <f>VLOOKUP(AssyMatrix[[#Headers],[Assy015]],AssyList[[Assy '#]:[COM]],4,FALSE)</f>
        <v>923</v>
      </c>
      <c r="AU1" s="8">
        <f>VLOOKUP(AssyMatrix[[#Headers],[Assy016]],AssyList[[Assy '#]:[COM]],4,FALSE)</f>
        <v>1106</v>
      </c>
      <c r="AV1" s="8">
        <f>VLOOKUP(AssyMatrix[[#Headers],[Assy017]],AssyList[[Assy '#]:[COM]],4,FALSE)</f>
        <v>762</v>
      </c>
      <c r="AW1" s="8">
        <f>VLOOKUP(AssyMatrix[[#Headers],[Assy018]],AssyList[[Assy '#]:[COM]],4,FALSE)</f>
        <v>1085</v>
      </c>
      <c r="AX1" s="8">
        <f>VLOOKUP(AssyMatrix[[#Headers],[Assy019]],AssyList[[Assy '#]:[COM]],4,FALSE)</f>
        <v>710</v>
      </c>
      <c r="AY1" s="8">
        <f>VLOOKUP(AssyMatrix[[#Headers],[Assy020]],AssyList[[Assy '#]:[COM]],4,FALSE)</f>
        <v>1010</v>
      </c>
      <c r="AZ1" s="8">
        <f>VLOOKUP(AssyMatrix[[#Headers],[Assy021]],AssyList[[Assy '#]:[COM]],4,FALSE)</f>
        <v>1163</v>
      </c>
      <c r="BA1" s="8">
        <f>VLOOKUP(AssyMatrix[[#Headers],[Assy032]],AssyList[[Assy '#]:[COM]],4,FALSE)</f>
        <v>1201</v>
      </c>
      <c r="BB1" s="8">
        <f>VLOOKUP(AssyMatrix[[#Headers],[Assy022]],AssyList[[Assy '#]:[COM]],4,FALSE)</f>
        <v>1463</v>
      </c>
      <c r="BC1" s="8">
        <f>VLOOKUP(AssyMatrix[[#Headers],[Assy023]],AssyList[[Assy '#]:[COM]],4,FALSE)</f>
        <v>2915</v>
      </c>
      <c r="BD1" s="8">
        <f>VLOOKUP(AssyMatrix[[#Headers],[Assy024]],AssyList[[Assy '#]:[COM]],4,FALSE)</f>
        <v>2619</v>
      </c>
      <c r="BE1" s="8">
        <f>VLOOKUP(AssyMatrix[[#Headers],[Assy025]],AssyList[[Assy '#]:[COM]],4,FALSE)</f>
        <v>2965</v>
      </c>
      <c r="BF1" s="8">
        <f>VLOOKUP(AssyMatrix[[#Headers],[Assy026]],AssyList[[Assy '#]:[COM]],4,FALSE)</f>
        <v>3274</v>
      </c>
      <c r="BG1" s="8">
        <f>VLOOKUP(AssyMatrix[[#Headers],[Assy027]],AssyList[[Assy '#]:[COM]],4,FALSE)</f>
        <v>3620</v>
      </c>
      <c r="BH1" s="8">
        <f>VLOOKUP(AssyMatrix[[#Headers],[Assy028]],AssyList[[Assy '#]:[COM]],4,FALSE)</f>
        <v>1258</v>
      </c>
      <c r="BI1" s="8">
        <f>VLOOKUP(AssyMatrix[[#Headers],[Assy029]],AssyList[[Assy '#]:[COM]],4,FALSE)</f>
        <v>1258</v>
      </c>
      <c r="BJ1" s="8">
        <f>VLOOKUP(AssyMatrix[[#Headers],[Assy030]],AssyList[[Assy '#]:[COM]],4,FALSE)</f>
        <v>2037</v>
      </c>
      <c r="BK1" s="8">
        <f>VLOOKUP(AssyMatrix[[#Headers],[Assy031]],AssyList[[Assy '#]:[COM]],4,FALSE)</f>
        <v>2037</v>
      </c>
      <c r="BL1" s="8">
        <f>VLOOKUP(AssyMatrix[[#Headers],[Assy055]],AssyList[[Assy '#]:[COM]],4,FALSE)</f>
        <v>3317</v>
      </c>
      <c r="BM1" s="8">
        <f>VLOOKUP(AssyMatrix[[#Headers],[Assy056]],AssyList[[Assy '#]:[COM]],4,FALSE)</f>
        <v>3662</v>
      </c>
      <c r="BN1" s="8">
        <f>VLOOKUP(AssyMatrix[[#Headers],[Assy057]],AssyList[[Assy '#]:[COM]],4,FALSE)</f>
        <v>2082</v>
      </c>
      <c r="BO1" s="8">
        <f>VLOOKUP(AssyMatrix[[#Headers],[Assy058]],AssyList[[Assy '#]:[COM]],4,FALSE)</f>
        <v>2082</v>
      </c>
      <c r="BP1" s="8">
        <f>VLOOKUP(AssyMatrix[[#Headers],[Assy059]],AssyList[[Assy '#]:[COM]],4,FALSE)</f>
        <v>2657</v>
      </c>
      <c r="BQ1" s="8">
        <f>VLOOKUP(AssyMatrix[[#Headers],[Assy060]],AssyList[[Assy '#]:[COM]],4,FALSE)</f>
        <v>3310</v>
      </c>
      <c r="BR1" s="8">
        <f>VLOOKUP(AssyMatrix[[#Headers],[Assy061]],AssyList[[Assy '#]:[COM]],4,FALSE)</f>
        <v>3354</v>
      </c>
      <c r="BS1" s="8">
        <f>VLOOKUP(AssyMatrix[[#Headers],[Assy062]],AssyList[[Assy '#]:[COM]],4,FALSE)</f>
        <v>1258</v>
      </c>
      <c r="BT1" s="8">
        <f>VLOOKUP(AssyMatrix[[#Headers],[Assy063]],AssyList[[Assy '#]:[COM]],4,FALSE)</f>
        <v>2037</v>
      </c>
      <c r="BU1" s="8">
        <f>VLOOKUP(AssyMatrix[[#Headers],[Assy064]],AssyList[[Assy '#]:[COM]],4,FALSE)</f>
        <v>2082</v>
      </c>
      <c r="BV1" s="8">
        <f>VLOOKUP(AssyMatrix[[#Headers],[Assy065]],AssyList[[Assy '#]:[COM]],4,FALSE)</f>
        <v>2132</v>
      </c>
      <c r="BW1" s="8">
        <f>VLOOKUP(AssyMatrix[[#Headers],[Assy065BC]],AssyList[[Assy '#]:[COM]],4,FALSE)</f>
        <v>0</v>
      </c>
      <c r="BX1" s="8">
        <f>VLOOKUP(AssyMatrix[[#Headers],[Assy065BP]],AssyList[[Assy '#]:[COM]],4,FALSE)</f>
        <v>0</v>
      </c>
      <c r="BY1" s="8">
        <f>VLOOKUP(AssyMatrix[[#Headers],[Assy066]],AssyList[[Assy '#]:[COM]],4,FALSE)</f>
        <v>1767</v>
      </c>
      <c r="BZ1" s="8">
        <f>VLOOKUP(AssyMatrix[[#Headers],[Assy067]],AssyList[[Assy '#]:[COM]],4,FALSE)</f>
        <v>1775</v>
      </c>
      <c r="CA1" s="8">
        <f>VLOOKUP(AssyMatrix[[#Headers],[Assy067U]],AssyList[[Assy '#]:[COM]],4,FALSE)</f>
        <v>780</v>
      </c>
      <c r="CB1" s="8">
        <f>VLOOKUP(AssyMatrix[[#Headers],[Assy068]],AssyList[[Assy '#]:[COM]],4,FALSE)</f>
        <v>666</v>
      </c>
      <c r="CC1" s="8">
        <f>VLOOKUP(AssyMatrix[[#Headers],[Assy069]],AssyList[[Assy '#]:[COM]],4,FALSE)</f>
        <v>700</v>
      </c>
      <c r="CD1" s="8">
        <f>VLOOKUP(AssyMatrix[[#Headers],[Assy070]],AssyList[[Assy '#]:[COM]],4,FALSE)</f>
        <v>1463</v>
      </c>
      <c r="CE1" s="8">
        <f>VLOOKUP(AssyMatrix[[#Headers],[Assy071]],AssyList[[Assy '#]:[COM]],4,FALSE)</f>
        <v>0</v>
      </c>
      <c r="CF1" s="8">
        <f>VLOOKUP(AssyMatrix[[#Headers],[Assy072]],AssyList[[Assy '#]:[COM]],4,FALSE)</f>
        <v>2874</v>
      </c>
      <c r="CG1" s="8">
        <f>VLOOKUP(AssyMatrix[[#Headers],[Assy072BC]],AssyList[[Assy '#]:[COM]],4,FALSE)</f>
        <v>0</v>
      </c>
      <c r="CH1" s="8">
        <f>VLOOKUP(AssyMatrix[[#Headers],[Assy072BP]],AssyList[[Assy '#]:[COM]],4,FALSE)</f>
        <v>0</v>
      </c>
      <c r="CI1" s="8">
        <f>VLOOKUP(AssyMatrix[[#Headers],[Assy072SCB]],AssyList[[Assy '#]:[COM]],4,FALSE)</f>
        <v>0</v>
      </c>
      <c r="CJ1" s="8">
        <f>VLOOKUP(AssyMatrix[[#Headers],[Assy072SCT]],AssyList[[Assy '#]:[COM]],4,FALSE)</f>
        <v>0</v>
      </c>
      <c r="CK1" s="8">
        <f>VLOOKUP(AssyMatrix[[#Headers],[Assy073]],AssyList[[Assy '#]:[COM]],4,FALSE)</f>
        <v>5391</v>
      </c>
      <c r="CL1" s="8">
        <f>VLOOKUP(AssyMatrix[[#Headers],[Assy073BP]],AssyList[[Assy '#]:[COM]],4,FALSE)</f>
        <v>0</v>
      </c>
      <c r="CM1" s="8">
        <f>VLOOKUP(AssyMatrix[[#Headers],[Assy074]],AssyList[[Assy '#]:[COM]],4,FALSE)</f>
        <v>3553</v>
      </c>
      <c r="CN1" s="8">
        <f>VLOOKUP(AssyMatrix[[#Headers],[Assy074BC]],AssyList[[Assy '#]:[COM]],4,FALSE)</f>
        <v>0</v>
      </c>
      <c r="CO1" s="8">
        <f>VLOOKUP(AssyMatrix[[#Headers],[Assy074BP]],AssyList[[Assy '#]:[COM]],4,FALSE)</f>
        <v>0</v>
      </c>
      <c r="CP1" s="8">
        <f>VLOOKUP(AssyMatrix[[#Headers],[Assy074SCB]],AssyList[[Assy '#]:[COM]],4,FALSE)</f>
        <v>0</v>
      </c>
      <c r="CQ1" s="8">
        <f>VLOOKUP(AssyMatrix[[#Headers],[Assy074SCT]],AssyList[[Assy '#]:[COM]],4,FALSE)</f>
        <v>0</v>
      </c>
      <c r="CR1" s="8">
        <f>VLOOKUP(AssyMatrix[[#Headers],[Assy075]],AssyList[[Assy '#]:[COM]],4,FALSE)</f>
        <v>6513</v>
      </c>
      <c r="CS1" s="8">
        <f>VLOOKUP(AssyMatrix[[#Headers],[Assy075BP]],AssyList[[Assy '#]:[COM]],4,FALSE)</f>
        <v>0</v>
      </c>
    </row>
    <row r="2" spans="1:98" x14ac:dyDescent="0.3">
      <c r="A2" s="7" t="s">
        <v>90</v>
      </c>
      <c r="B2" s="7" t="s">
        <v>91</v>
      </c>
      <c r="C2" s="8" t="s">
        <v>162</v>
      </c>
      <c r="D2" s="7" t="s">
        <v>202</v>
      </c>
      <c r="E2" s="7" t="s">
        <v>203</v>
      </c>
      <c r="F2" s="7" t="s">
        <v>204</v>
      </c>
      <c r="G2" s="7" t="s">
        <v>205</v>
      </c>
      <c r="H2" s="8" t="s">
        <v>163</v>
      </c>
      <c r="I2" s="8" t="s">
        <v>164</v>
      </c>
      <c r="J2" s="7" t="s">
        <v>206</v>
      </c>
      <c r="K2" s="7" t="s">
        <v>207</v>
      </c>
      <c r="L2" s="7" t="s">
        <v>208</v>
      </c>
      <c r="M2" s="7" t="s">
        <v>209</v>
      </c>
      <c r="N2" s="8" t="s">
        <v>165</v>
      </c>
      <c r="O2" s="7" t="s">
        <v>210</v>
      </c>
      <c r="P2" s="7" t="s">
        <v>211</v>
      </c>
      <c r="Q2" s="7" t="s">
        <v>212</v>
      </c>
      <c r="R2" s="7" t="s">
        <v>213</v>
      </c>
      <c r="S2" s="8" t="s">
        <v>167</v>
      </c>
      <c r="T2" s="8" t="s">
        <v>169</v>
      </c>
      <c r="U2" s="7" t="s">
        <v>214</v>
      </c>
      <c r="V2" s="7" t="s">
        <v>215</v>
      </c>
      <c r="W2" s="7" t="s">
        <v>216</v>
      </c>
      <c r="X2" s="7" t="s">
        <v>217</v>
      </c>
      <c r="Y2" s="8" t="s">
        <v>170</v>
      </c>
      <c r="Z2" s="7" t="s">
        <v>446</v>
      </c>
      <c r="AA2" s="86" t="s">
        <v>171</v>
      </c>
      <c r="AB2" s="86" t="s">
        <v>172</v>
      </c>
      <c r="AC2" s="86" t="s">
        <v>173</v>
      </c>
      <c r="AD2" s="86" t="s">
        <v>174</v>
      </c>
      <c r="AE2" s="86" t="s">
        <v>175</v>
      </c>
      <c r="AF2" s="86" t="s">
        <v>176</v>
      </c>
      <c r="AG2" s="86" t="s">
        <v>177</v>
      </c>
      <c r="AH2" s="86" t="s">
        <v>178</v>
      </c>
      <c r="AI2" s="86" t="s">
        <v>179</v>
      </c>
      <c r="AJ2" s="86" t="s">
        <v>180</v>
      </c>
      <c r="AK2" s="86" t="s">
        <v>181</v>
      </c>
      <c r="AL2" s="86" t="s">
        <v>182</v>
      </c>
      <c r="AM2" s="86" t="s">
        <v>436</v>
      </c>
      <c r="AN2" s="86" t="s">
        <v>437</v>
      </c>
      <c r="AO2" s="86" t="s">
        <v>438</v>
      </c>
      <c r="AP2" s="86" t="s">
        <v>439</v>
      </c>
      <c r="AQ2" s="8" t="s">
        <v>166</v>
      </c>
      <c r="AR2" s="8" t="s">
        <v>168</v>
      </c>
      <c r="AS2" s="8" t="s">
        <v>183</v>
      </c>
      <c r="AT2" s="8" t="s">
        <v>184</v>
      </c>
      <c r="AU2" s="8" t="s">
        <v>185</v>
      </c>
      <c r="AV2" s="8" t="s">
        <v>186</v>
      </c>
      <c r="AW2" s="8" t="s">
        <v>187</v>
      </c>
      <c r="AX2" s="8" t="s">
        <v>188</v>
      </c>
      <c r="AY2" s="8" t="s">
        <v>189</v>
      </c>
      <c r="AZ2" s="8" t="s">
        <v>190</v>
      </c>
      <c r="BA2" s="7" t="s">
        <v>201</v>
      </c>
      <c r="BB2" s="8" t="s">
        <v>191</v>
      </c>
      <c r="BC2" s="8" t="s">
        <v>192</v>
      </c>
      <c r="BD2" s="8" t="s">
        <v>193</v>
      </c>
      <c r="BE2" s="8" t="s">
        <v>194</v>
      </c>
      <c r="BF2" s="8" t="s">
        <v>195</v>
      </c>
      <c r="BG2" s="8" t="s">
        <v>196</v>
      </c>
      <c r="BH2" s="8" t="s">
        <v>197</v>
      </c>
      <c r="BI2" s="8" t="s">
        <v>198</v>
      </c>
      <c r="BJ2" s="8" t="s">
        <v>199</v>
      </c>
      <c r="BK2" s="8" t="s">
        <v>200</v>
      </c>
      <c r="BL2" s="8" t="s">
        <v>259</v>
      </c>
      <c r="BM2" s="8" t="s">
        <v>260</v>
      </c>
      <c r="BN2" s="8" t="s">
        <v>261</v>
      </c>
      <c r="BO2" s="8" t="s">
        <v>262</v>
      </c>
      <c r="BP2" s="8" t="s">
        <v>531</v>
      </c>
      <c r="BQ2" s="8" t="s">
        <v>533</v>
      </c>
      <c r="BR2" s="8" t="s">
        <v>535</v>
      </c>
      <c r="BS2" s="8" t="s">
        <v>537</v>
      </c>
      <c r="BT2" s="8" t="s">
        <v>538</v>
      </c>
      <c r="BU2" s="8" t="s">
        <v>539</v>
      </c>
      <c r="BV2" s="7" t="s">
        <v>569</v>
      </c>
      <c r="BW2" s="7" t="s">
        <v>570</v>
      </c>
      <c r="BX2" s="7" t="s">
        <v>571</v>
      </c>
      <c r="BY2" s="7" t="s">
        <v>572</v>
      </c>
      <c r="BZ2" s="7" t="s">
        <v>573</v>
      </c>
      <c r="CA2" s="7" t="s">
        <v>574</v>
      </c>
      <c r="CB2" s="7" t="s">
        <v>575</v>
      </c>
      <c r="CC2" s="7" t="s">
        <v>576</v>
      </c>
      <c r="CD2" s="7" t="s">
        <v>577</v>
      </c>
      <c r="CE2" s="7" t="s">
        <v>589</v>
      </c>
      <c r="CF2" s="7" t="s">
        <v>615</v>
      </c>
      <c r="CG2" s="7" t="s">
        <v>618</v>
      </c>
      <c r="CH2" s="7" t="s">
        <v>621</v>
      </c>
      <c r="CI2" s="7" t="s">
        <v>630</v>
      </c>
      <c r="CJ2" s="7" t="s">
        <v>631</v>
      </c>
      <c r="CK2" s="7" t="s">
        <v>617</v>
      </c>
      <c r="CL2" s="7" t="s">
        <v>664</v>
      </c>
      <c r="CM2" s="7" t="s">
        <v>623</v>
      </c>
      <c r="CN2" s="7" t="s">
        <v>625</v>
      </c>
      <c r="CO2" s="7" t="s">
        <v>626</v>
      </c>
      <c r="CP2" s="7" t="s">
        <v>634</v>
      </c>
      <c r="CQ2" s="7" t="s">
        <v>636</v>
      </c>
      <c r="CR2" s="7" t="s">
        <v>629</v>
      </c>
      <c r="CS2" s="7" t="s">
        <v>665</v>
      </c>
      <c r="CT2" s="7" t="s">
        <v>795</v>
      </c>
    </row>
    <row r="3" spans="1:98" x14ac:dyDescent="0.3">
      <c r="A3" s="7" t="s">
        <v>404</v>
      </c>
      <c r="B3" s="7" t="s">
        <v>126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8">
        <v>0</v>
      </c>
      <c r="BC3" s="8">
        <v>0</v>
      </c>
      <c r="BD3" s="8">
        <v>0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>
        <v>0</v>
      </c>
      <c r="BL3" s="8">
        <v>0</v>
      </c>
      <c r="BM3" s="8">
        <v>0</v>
      </c>
      <c r="BN3" s="8">
        <v>0</v>
      </c>
      <c r="BO3" s="8">
        <v>0</v>
      </c>
      <c r="BP3" s="8">
        <v>0</v>
      </c>
      <c r="BQ3" s="8">
        <v>0</v>
      </c>
      <c r="BR3" s="8">
        <v>0</v>
      </c>
      <c r="BS3" s="8">
        <v>0</v>
      </c>
      <c r="BT3" s="8">
        <v>0</v>
      </c>
      <c r="BU3" s="8">
        <v>0</v>
      </c>
      <c r="BV3" s="8">
        <v>0</v>
      </c>
      <c r="BW3" s="8">
        <v>0</v>
      </c>
      <c r="BX3" s="8">
        <v>0</v>
      </c>
      <c r="BY3" s="8">
        <v>0</v>
      </c>
      <c r="BZ3" s="8">
        <v>0</v>
      </c>
      <c r="CA3" s="8">
        <v>0</v>
      </c>
      <c r="CB3" s="8">
        <v>0</v>
      </c>
      <c r="CC3" s="8">
        <v>0</v>
      </c>
      <c r="CD3" s="8">
        <v>0</v>
      </c>
      <c r="CE3" s="8">
        <v>0</v>
      </c>
      <c r="CF3" s="8">
        <v>0</v>
      </c>
      <c r="CG3" s="8">
        <v>0</v>
      </c>
      <c r="CH3" s="8">
        <v>0</v>
      </c>
      <c r="CI3" s="8">
        <v>0</v>
      </c>
      <c r="CJ3" s="8">
        <v>0</v>
      </c>
      <c r="CK3" s="8">
        <v>0</v>
      </c>
      <c r="CL3" s="8">
        <v>0</v>
      </c>
      <c r="CM3" s="8">
        <v>0</v>
      </c>
      <c r="CN3" s="8">
        <v>0</v>
      </c>
      <c r="CO3" s="8">
        <v>0</v>
      </c>
      <c r="CP3" s="8">
        <v>0</v>
      </c>
      <c r="CQ3" s="8">
        <v>0</v>
      </c>
      <c r="CR3" s="8">
        <v>0</v>
      </c>
      <c r="CS3" s="8">
        <v>0</v>
      </c>
      <c r="CT3" s="7">
        <f>SUMPRODUCT(AssyMatrix[[#This Row],[Assy001]:[Assy075BP]],AssyMatrix[[#Headers],[Assy001]:[Assy075BP]])</f>
        <v>0</v>
      </c>
    </row>
    <row r="4" spans="1:98" x14ac:dyDescent="0.3">
      <c r="A4" s="7">
        <v>6506</v>
      </c>
      <c r="B4" s="7" t="s">
        <v>638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  <c r="BV4" s="8">
        <v>0</v>
      </c>
      <c r="BW4" s="8">
        <v>0</v>
      </c>
      <c r="BX4" s="8">
        <v>0</v>
      </c>
      <c r="BY4" s="8">
        <v>0</v>
      </c>
      <c r="BZ4" s="8">
        <v>0</v>
      </c>
      <c r="CA4" s="8">
        <v>0</v>
      </c>
      <c r="CB4" s="8">
        <v>0</v>
      </c>
      <c r="CC4" s="8">
        <v>0</v>
      </c>
      <c r="CD4" s="8">
        <v>0</v>
      </c>
      <c r="CE4" s="8">
        <v>0</v>
      </c>
      <c r="CF4" s="8">
        <v>1</v>
      </c>
      <c r="CG4" s="8">
        <v>1</v>
      </c>
      <c r="CH4" s="8">
        <v>1</v>
      </c>
      <c r="CI4" s="8">
        <v>1</v>
      </c>
      <c r="CJ4" s="8">
        <v>1</v>
      </c>
      <c r="CK4" s="8">
        <v>0</v>
      </c>
      <c r="CL4" s="8">
        <v>0</v>
      </c>
      <c r="CM4" s="8">
        <v>0</v>
      </c>
      <c r="CN4" s="8">
        <v>0</v>
      </c>
      <c r="CO4" s="8">
        <v>0</v>
      </c>
      <c r="CP4" s="8">
        <v>0</v>
      </c>
      <c r="CQ4" s="8">
        <v>0</v>
      </c>
      <c r="CR4" s="8">
        <v>0</v>
      </c>
      <c r="CS4" s="8">
        <v>0</v>
      </c>
      <c r="CT4" s="7" t="e">
        <f>SUMPRODUCT(AssyMatrix[[#This Row],[Assy001]:[Assy075BP]],$C$1:$CS$1)</f>
        <v>#VALUE!</v>
      </c>
    </row>
    <row r="5" spans="1:98" x14ac:dyDescent="0.3">
      <c r="A5" s="7">
        <v>6507</v>
      </c>
      <c r="B5" s="7" t="s">
        <v>639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1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1</v>
      </c>
      <c r="CG5" s="8">
        <v>1</v>
      </c>
      <c r="CH5" s="8">
        <v>1</v>
      </c>
      <c r="CI5" s="8">
        <v>1</v>
      </c>
      <c r="CJ5" s="8">
        <v>1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7" t="e">
        <f>SUMPRODUCT(AssyMatrix[[#This Row],[Assy001]:[Assy075BP]],$C$1:$CS$1)</f>
        <v>#VALUE!</v>
      </c>
    </row>
    <row r="6" spans="1:98" x14ac:dyDescent="0.3">
      <c r="A6" s="7" t="s">
        <v>610</v>
      </c>
      <c r="B6" s="7" t="s">
        <v>640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1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1</v>
      </c>
      <c r="CG6" s="8">
        <v>1</v>
      </c>
      <c r="CH6" s="8">
        <v>1</v>
      </c>
      <c r="CI6" s="8">
        <v>1</v>
      </c>
      <c r="CJ6" s="8">
        <v>1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0</v>
      </c>
      <c r="CQ6" s="8">
        <v>0</v>
      </c>
      <c r="CR6" s="8">
        <v>0</v>
      </c>
      <c r="CS6" s="8">
        <v>0</v>
      </c>
      <c r="CT6" s="7" t="e">
        <f>SUMPRODUCT(AssyMatrix[[#This Row],[Assy001]:[Assy075BP]],$C$1:$CS$1)</f>
        <v>#VALUE!</v>
      </c>
    </row>
    <row r="7" spans="1:98" x14ac:dyDescent="0.3">
      <c r="A7" s="7">
        <v>6508</v>
      </c>
      <c r="B7" s="7" t="s">
        <v>641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1</v>
      </c>
      <c r="CN7" s="8">
        <v>1</v>
      </c>
      <c r="CO7" s="8">
        <v>1</v>
      </c>
      <c r="CP7" s="8">
        <v>1</v>
      </c>
      <c r="CQ7" s="8">
        <v>1</v>
      </c>
      <c r="CR7" s="8">
        <v>0</v>
      </c>
      <c r="CS7" s="8">
        <v>0</v>
      </c>
      <c r="CT7" s="7" t="e">
        <f>SUMPRODUCT(AssyMatrix[[#This Row],[Assy001]:[Assy075BP]],$C$1:$CS$1)</f>
        <v>#VALUE!</v>
      </c>
    </row>
    <row r="8" spans="1:98" x14ac:dyDescent="0.3">
      <c r="A8" s="7">
        <v>6509</v>
      </c>
      <c r="B8" s="7" t="s">
        <v>642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1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1</v>
      </c>
      <c r="CN8" s="8">
        <v>1</v>
      </c>
      <c r="CO8" s="8">
        <v>1</v>
      </c>
      <c r="CP8" s="8">
        <v>1</v>
      </c>
      <c r="CQ8" s="8">
        <v>1</v>
      </c>
      <c r="CR8" s="8">
        <v>0</v>
      </c>
      <c r="CS8" s="8">
        <v>0</v>
      </c>
      <c r="CT8" s="7" t="e">
        <f>SUMPRODUCT(AssyMatrix[[#This Row],[Assy001]:[Assy075BP]],$C$1:$CS$1)</f>
        <v>#VALUE!</v>
      </c>
    </row>
    <row r="9" spans="1:98" x14ac:dyDescent="0.3">
      <c r="A9" s="7" t="s">
        <v>611</v>
      </c>
      <c r="B9" s="7" t="s">
        <v>643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1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1</v>
      </c>
      <c r="CN9" s="8">
        <v>1</v>
      </c>
      <c r="CO9" s="8">
        <v>1</v>
      </c>
      <c r="CP9" s="8">
        <v>1</v>
      </c>
      <c r="CQ9" s="8">
        <v>1</v>
      </c>
      <c r="CR9" s="8">
        <v>0</v>
      </c>
      <c r="CS9" s="8">
        <v>0</v>
      </c>
      <c r="CT9" s="7" t="e">
        <f>SUMPRODUCT(AssyMatrix[[#This Row],[Assy001]:[Assy075BP]],$C$1:$CS$1)</f>
        <v>#VALUE!</v>
      </c>
    </row>
    <row r="10" spans="1:98" x14ac:dyDescent="0.3">
      <c r="A10" s="7">
        <v>6510</v>
      </c>
      <c r="B10" s="7" t="s">
        <v>8</v>
      </c>
      <c r="C10" s="8">
        <v>2</v>
      </c>
      <c r="D10" s="8">
        <v>2</v>
      </c>
      <c r="E10" s="8">
        <v>2</v>
      </c>
      <c r="F10" s="8">
        <v>2</v>
      </c>
      <c r="G10" s="8">
        <v>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1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7" t="e">
        <f>SUMPRODUCT(AssyMatrix[[#This Row],[Assy001]:[Assy075BP]],$C$1:$CS$1)</f>
        <v>#VALUE!</v>
      </c>
    </row>
    <row r="11" spans="1:98" x14ac:dyDescent="0.3">
      <c r="A11" s="7">
        <v>6511</v>
      </c>
      <c r="B11" s="7" t="s">
        <v>9</v>
      </c>
      <c r="C11" s="8">
        <v>2</v>
      </c>
      <c r="D11" s="8">
        <v>2</v>
      </c>
      <c r="E11" s="8">
        <v>2</v>
      </c>
      <c r="F11" s="8">
        <v>2</v>
      </c>
      <c r="G11" s="8">
        <v>2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1</v>
      </c>
      <c r="Z11" s="8">
        <v>0</v>
      </c>
      <c r="AA11" s="8">
        <v>2</v>
      </c>
      <c r="AB11" s="8">
        <v>0</v>
      </c>
      <c r="AC11" s="8">
        <v>0</v>
      </c>
      <c r="AD11" s="8">
        <v>1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7" t="e">
        <f>SUMPRODUCT(AssyMatrix[[#This Row],[Assy001]:[Assy075BP]],$C$1:$CS$1)</f>
        <v>#VALUE!</v>
      </c>
    </row>
    <row r="12" spans="1:98" x14ac:dyDescent="0.3">
      <c r="A12" s="7">
        <v>6512</v>
      </c>
      <c r="B12" s="7" t="s">
        <v>10</v>
      </c>
      <c r="C12" s="8">
        <v>2</v>
      </c>
      <c r="D12" s="8">
        <v>2</v>
      </c>
      <c r="E12" s="8">
        <v>2</v>
      </c>
      <c r="F12" s="8">
        <v>2</v>
      </c>
      <c r="G12" s="8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1</v>
      </c>
      <c r="Z12" s="8">
        <v>0</v>
      </c>
      <c r="AA12" s="8">
        <v>2</v>
      </c>
      <c r="AB12" s="8">
        <v>0</v>
      </c>
      <c r="AC12" s="8">
        <v>0</v>
      </c>
      <c r="AD12" s="8">
        <v>1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2</v>
      </c>
      <c r="AT12" s="8">
        <v>0</v>
      </c>
      <c r="AU12" s="8">
        <v>0</v>
      </c>
      <c r="AV12" s="8">
        <v>0</v>
      </c>
      <c r="AW12" s="8">
        <v>0</v>
      </c>
      <c r="AX12" s="8">
        <v>1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7" t="e">
        <f>SUMPRODUCT(AssyMatrix[[#This Row],[Assy001]:[Assy075BP]],$C$1:$CS$1)</f>
        <v>#VALUE!</v>
      </c>
    </row>
    <row r="13" spans="1:98" x14ac:dyDescent="0.3">
      <c r="A13" s="7">
        <v>6513</v>
      </c>
      <c r="B13" s="7" t="s">
        <v>11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1</v>
      </c>
      <c r="Z13" s="8">
        <v>0</v>
      </c>
      <c r="AA13" s="8">
        <v>2</v>
      </c>
      <c r="AB13" s="8">
        <v>0</v>
      </c>
      <c r="AC13" s="8">
        <v>0</v>
      </c>
      <c r="AD13" s="8">
        <v>1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2</v>
      </c>
      <c r="AT13" s="8">
        <v>0</v>
      </c>
      <c r="AU13" s="8">
        <v>0</v>
      </c>
      <c r="AV13" s="8">
        <v>1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7" t="e">
        <f>SUMPRODUCT(AssyMatrix[[#This Row],[Assy001]:[Assy075BP]],$C$1:$CS$1)</f>
        <v>#VALUE!</v>
      </c>
    </row>
    <row r="14" spans="1:98" x14ac:dyDescent="0.3">
      <c r="A14" s="7" t="s">
        <v>675</v>
      </c>
      <c r="B14" s="7" t="s">
        <v>12</v>
      </c>
      <c r="C14" s="8">
        <v>2</v>
      </c>
      <c r="D14" s="8">
        <v>2</v>
      </c>
      <c r="E14" s="8">
        <v>2</v>
      </c>
      <c r="F14" s="8">
        <v>2</v>
      </c>
      <c r="G14" s="8">
        <v>2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1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2</v>
      </c>
      <c r="AF14" s="8">
        <v>0</v>
      </c>
      <c r="AG14" s="8">
        <v>0</v>
      </c>
      <c r="AH14" s="8">
        <v>1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7" t="e">
        <f>SUMPRODUCT(AssyMatrix[[#This Row],[Assy001]:[Assy075BP]],$C$1:$CS$1)</f>
        <v>#VALUE!</v>
      </c>
    </row>
    <row r="15" spans="1:98" x14ac:dyDescent="0.3">
      <c r="A15" s="7" t="s">
        <v>677</v>
      </c>
      <c r="B15" s="7" t="s">
        <v>13</v>
      </c>
      <c r="C15" s="8">
        <v>2</v>
      </c>
      <c r="D15" s="8">
        <v>2</v>
      </c>
      <c r="E15" s="8">
        <v>2</v>
      </c>
      <c r="F15" s="8">
        <v>2</v>
      </c>
      <c r="G15" s="8">
        <v>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1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2</v>
      </c>
      <c r="AF15" s="8">
        <v>0</v>
      </c>
      <c r="AG15" s="8">
        <v>0</v>
      </c>
      <c r="AH15" s="8">
        <v>1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2</v>
      </c>
      <c r="AT15" s="8">
        <v>0</v>
      </c>
      <c r="AU15" s="8">
        <v>0</v>
      </c>
      <c r="AV15" s="8">
        <v>0</v>
      </c>
      <c r="AW15" s="8">
        <v>0</v>
      </c>
      <c r="AX15" s="8">
        <v>1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7" t="e">
        <f>SUMPRODUCT(AssyMatrix[[#This Row],[Assy001]:[Assy075BP]],$C$1:$CS$1)</f>
        <v>#VALUE!</v>
      </c>
    </row>
    <row r="16" spans="1:98" x14ac:dyDescent="0.3">
      <c r="A16" s="7" t="s">
        <v>679</v>
      </c>
      <c r="B16" s="7" t="s">
        <v>14</v>
      </c>
      <c r="C16" s="8">
        <v>2</v>
      </c>
      <c r="D16" s="8">
        <v>2</v>
      </c>
      <c r="E16" s="8">
        <v>2</v>
      </c>
      <c r="F16" s="8">
        <v>2</v>
      </c>
      <c r="G16" s="8">
        <v>2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1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2</v>
      </c>
      <c r="AF16" s="8">
        <v>0</v>
      </c>
      <c r="AG16" s="8">
        <v>0</v>
      </c>
      <c r="AH16" s="8">
        <v>1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2</v>
      </c>
      <c r="AT16" s="8">
        <v>0</v>
      </c>
      <c r="AU16" s="8">
        <v>0</v>
      </c>
      <c r="AV16" s="8">
        <v>1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7" t="e">
        <f>SUMPRODUCT(AssyMatrix[[#This Row],[Assy001]:[Assy075BP]],$C$1:$CS$1)</f>
        <v>#VALUE!</v>
      </c>
    </row>
    <row r="17" spans="1:98" x14ac:dyDescent="0.3">
      <c r="A17" s="7" t="s">
        <v>448</v>
      </c>
      <c r="B17" s="7" t="s">
        <v>15</v>
      </c>
      <c r="C17" s="8">
        <v>2</v>
      </c>
      <c r="D17" s="8">
        <v>2</v>
      </c>
      <c r="E17" s="8">
        <v>2</v>
      </c>
      <c r="F17" s="8">
        <v>2</v>
      </c>
      <c r="G17" s="8">
        <v>2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1</v>
      </c>
      <c r="Z17" s="8">
        <v>1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1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7" t="e">
        <f>SUMPRODUCT(AssyMatrix[[#This Row],[Assy001]:[Assy075BP]],$C$1:$CS$1)</f>
        <v>#VALUE!</v>
      </c>
    </row>
    <row r="18" spans="1:98" x14ac:dyDescent="0.3">
      <c r="A18" s="7" t="s">
        <v>449</v>
      </c>
      <c r="B18" s="7" t="s">
        <v>16</v>
      </c>
      <c r="C18" s="8">
        <v>2</v>
      </c>
      <c r="D18" s="8">
        <v>2</v>
      </c>
      <c r="E18" s="8">
        <v>2</v>
      </c>
      <c r="F18" s="8">
        <v>2</v>
      </c>
      <c r="G18" s="8">
        <v>2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1</v>
      </c>
      <c r="Z18" s="8">
        <v>1</v>
      </c>
      <c r="AA18" s="8">
        <v>2</v>
      </c>
      <c r="AB18" s="8">
        <v>0</v>
      </c>
      <c r="AC18" s="8">
        <v>0</v>
      </c>
      <c r="AD18" s="8">
        <v>1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1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7" t="e">
        <f>SUMPRODUCT(AssyMatrix[[#This Row],[Assy001]:[Assy075BP]],$C$1:$CS$1)</f>
        <v>#VALUE!</v>
      </c>
    </row>
    <row r="19" spans="1:98" x14ac:dyDescent="0.3">
      <c r="A19" s="7" t="s">
        <v>450</v>
      </c>
      <c r="B19" s="7" t="s">
        <v>17</v>
      </c>
      <c r="C19" s="8">
        <v>2</v>
      </c>
      <c r="D19" s="8">
        <v>2</v>
      </c>
      <c r="E19" s="8">
        <v>2</v>
      </c>
      <c r="F19" s="8">
        <v>2</v>
      </c>
      <c r="G19" s="8">
        <v>2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1</v>
      </c>
      <c r="AA19" s="8">
        <v>2</v>
      </c>
      <c r="AB19" s="8">
        <v>0</v>
      </c>
      <c r="AC19" s="8">
        <v>0</v>
      </c>
      <c r="AD19" s="8">
        <v>1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2</v>
      </c>
      <c r="AT19" s="8">
        <v>0</v>
      </c>
      <c r="AU19" s="8">
        <v>0</v>
      </c>
      <c r="AV19" s="8">
        <v>0</v>
      </c>
      <c r="AW19" s="8">
        <v>0</v>
      </c>
      <c r="AX19" s="8">
        <v>1</v>
      </c>
      <c r="AY19" s="8">
        <v>0</v>
      </c>
      <c r="AZ19" s="8">
        <v>0</v>
      </c>
      <c r="BA19" s="8">
        <v>0</v>
      </c>
      <c r="BB19" s="8">
        <v>1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7" t="e">
        <f>SUMPRODUCT(AssyMatrix[[#This Row],[Assy001]:[Assy075BP]],$C$1:$CS$1)</f>
        <v>#VALUE!</v>
      </c>
    </row>
    <row r="20" spans="1:98" x14ac:dyDescent="0.3">
      <c r="A20" s="7" t="s">
        <v>451</v>
      </c>
      <c r="B20" s="7" t="s">
        <v>18</v>
      </c>
      <c r="C20" s="8">
        <v>2</v>
      </c>
      <c r="D20" s="8">
        <v>2</v>
      </c>
      <c r="E20" s="8">
        <v>2</v>
      </c>
      <c r="F20" s="8">
        <v>2</v>
      </c>
      <c r="G20" s="8">
        <v>2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1</v>
      </c>
      <c r="Z20" s="8">
        <v>1</v>
      </c>
      <c r="AA20" s="8">
        <v>2</v>
      </c>
      <c r="AB20" s="8">
        <v>0</v>
      </c>
      <c r="AC20" s="8">
        <v>0</v>
      </c>
      <c r="AD20" s="8">
        <v>1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2</v>
      </c>
      <c r="AT20" s="8">
        <v>0</v>
      </c>
      <c r="AU20" s="8">
        <v>0</v>
      </c>
      <c r="AV20" s="8">
        <v>1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1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8">
        <v>0</v>
      </c>
      <c r="CP20" s="8">
        <v>0</v>
      </c>
      <c r="CQ20" s="8">
        <v>0</v>
      </c>
      <c r="CR20" s="8">
        <v>0</v>
      </c>
      <c r="CS20" s="8">
        <v>0</v>
      </c>
      <c r="CT20" s="7" t="e">
        <f>SUMPRODUCT(AssyMatrix[[#This Row],[Assy001]:[Assy075BP]],$C$1:$CS$1)</f>
        <v>#VALUE!</v>
      </c>
    </row>
    <row r="21" spans="1:98" x14ac:dyDescent="0.3">
      <c r="A21" s="7" t="s">
        <v>730</v>
      </c>
      <c r="B21" s="7" t="s">
        <v>19</v>
      </c>
      <c r="C21" s="8">
        <v>2</v>
      </c>
      <c r="D21" s="8">
        <v>2</v>
      </c>
      <c r="E21" s="8">
        <v>2</v>
      </c>
      <c r="F21" s="8">
        <v>2</v>
      </c>
      <c r="G21" s="8">
        <v>2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1</v>
      </c>
      <c r="Z21" s="8">
        <v>1</v>
      </c>
      <c r="AA21" s="8">
        <v>0</v>
      </c>
      <c r="AB21" s="8">
        <v>0</v>
      </c>
      <c r="AC21" s="8">
        <v>0</v>
      </c>
      <c r="AD21" s="8">
        <v>0</v>
      </c>
      <c r="AE21" s="8">
        <v>2</v>
      </c>
      <c r="AF21" s="8">
        <v>0</v>
      </c>
      <c r="AG21" s="8">
        <v>0</v>
      </c>
      <c r="AH21" s="8">
        <v>1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1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7" t="e">
        <f>SUMPRODUCT(AssyMatrix[[#This Row],[Assy001]:[Assy075BP]],$C$1:$CS$1)</f>
        <v>#VALUE!</v>
      </c>
    </row>
    <row r="22" spans="1:98" x14ac:dyDescent="0.3">
      <c r="A22" s="7" t="s">
        <v>731</v>
      </c>
      <c r="B22" s="7" t="s">
        <v>20</v>
      </c>
      <c r="C22" s="8">
        <v>2</v>
      </c>
      <c r="D22" s="8">
        <v>2</v>
      </c>
      <c r="E22" s="8">
        <v>2</v>
      </c>
      <c r="F22" s="8">
        <v>2</v>
      </c>
      <c r="G22" s="8">
        <v>2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1</v>
      </c>
      <c r="Z22" s="8">
        <v>1</v>
      </c>
      <c r="AA22" s="8">
        <v>0</v>
      </c>
      <c r="AB22" s="8">
        <v>0</v>
      </c>
      <c r="AC22" s="8">
        <v>0</v>
      </c>
      <c r="AD22" s="8">
        <v>0</v>
      </c>
      <c r="AE22" s="8">
        <v>2</v>
      </c>
      <c r="AF22" s="8">
        <v>0</v>
      </c>
      <c r="AG22" s="8">
        <v>0</v>
      </c>
      <c r="AH22" s="8">
        <v>1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2</v>
      </c>
      <c r="AT22" s="8">
        <v>0</v>
      </c>
      <c r="AU22" s="8">
        <v>0</v>
      </c>
      <c r="AV22" s="8">
        <v>0</v>
      </c>
      <c r="AW22" s="8">
        <v>0</v>
      </c>
      <c r="AX22" s="8">
        <v>1</v>
      </c>
      <c r="AY22" s="8">
        <v>0</v>
      </c>
      <c r="AZ22" s="8">
        <v>0</v>
      </c>
      <c r="BA22" s="8">
        <v>0</v>
      </c>
      <c r="BB22" s="8">
        <v>1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7" t="e">
        <f>SUMPRODUCT(AssyMatrix[[#This Row],[Assy001]:[Assy075BP]],$C$1:$CS$1)</f>
        <v>#VALUE!</v>
      </c>
    </row>
    <row r="23" spans="1:98" x14ac:dyDescent="0.3">
      <c r="A23" s="7" t="s">
        <v>732</v>
      </c>
      <c r="B23" s="7" t="s">
        <v>21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1</v>
      </c>
      <c r="Z23" s="8">
        <v>1</v>
      </c>
      <c r="AA23" s="8">
        <v>0</v>
      </c>
      <c r="AB23" s="8">
        <v>0</v>
      </c>
      <c r="AC23" s="8">
        <v>0</v>
      </c>
      <c r="AD23" s="8">
        <v>0</v>
      </c>
      <c r="AE23" s="8">
        <v>2</v>
      </c>
      <c r="AF23" s="8">
        <v>0</v>
      </c>
      <c r="AG23" s="8">
        <v>0</v>
      </c>
      <c r="AH23" s="8">
        <v>1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2</v>
      </c>
      <c r="AT23" s="8">
        <v>0</v>
      </c>
      <c r="AU23" s="8">
        <v>0</v>
      </c>
      <c r="AV23" s="8">
        <v>1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1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7" t="e">
        <f>SUMPRODUCT(AssyMatrix[[#This Row],[Assy001]:[Assy075BP]],$C$1:$CS$1)</f>
        <v>#VALUE!</v>
      </c>
    </row>
    <row r="24" spans="1:98" x14ac:dyDescent="0.3">
      <c r="A24" s="7" t="s">
        <v>587</v>
      </c>
      <c r="B24" s="7" t="s">
        <v>594</v>
      </c>
      <c r="C24" s="8">
        <v>0</v>
      </c>
      <c r="D24" s="8">
        <v>0</v>
      </c>
      <c r="E24" s="8">
        <v>1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1</v>
      </c>
      <c r="BW24" s="8">
        <v>1</v>
      </c>
      <c r="BX24" s="8">
        <v>1</v>
      </c>
      <c r="BY24" s="8">
        <v>1</v>
      </c>
      <c r="BZ24" s="8">
        <v>0</v>
      </c>
      <c r="CA24" s="8">
        <v>0</v>
      </c>
      <c r="CB24" s="8">
        <v>0</v>
      </c>
      <c r="CC24" s="8">
        <v>0</v>
      </c>
      <c r="CD24" s="8">
        <v>1</v>
      </c>
      <c r="CE24" s="8">
        <v>1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7" t="e">
        <f>SUMPRODUCT(AssyMatrix[[#This Row],[Assy001]:[Assy075BP]],$C$1:$CS$1)</f>
        <v>#VALUE!</v>
      </c>
    </row>
    <row r="25" spans="1:98" x14ac:dyDescent="0.3">
      <c r="A25" s="7" t="s">
        <v>556</v>
      </c>
      <c r="B25" s="7" t="s">
        <v>595</v>
      </c>
      <c r="C25" s="8">
        <v>0</v>
      </c>
      <c r="D25" s="8">
        <v>0</v>
      </c>
      <c r="E25" s="8">
        <v>1</v>
      </c>
      <c r="F25" s="8">
        <v>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2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1</v>
      </c>
      <c r="BW25" s="8">
        <v>1</v>
      </c>
      <c r="BX25" s="8">
        <v>1</v>
      </c>
      <c r="BY25" s="8">
        <v>1</v>
      </c>
      <c r="BZ25" s="8">
        <v>0</v>
      </c>
      <c r="CA25" s="8">
        <v>1</v>
      </c>
      <c r="CB25" s="8">
        <v>0</v>
      </c>
      <c r="CC25" s="8">
        <v>0</v>
      </c>
      <c r="CD25" s="8">
        <v>1</v>
      </c>
      <c r="CE25" s="8">
        <v>1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7" t="e">
        <f>SUMPRODUCT(AssyMatrix[[#This Row],[Assy001]:[Assy075BP]],$C$1:$CS$1)</f>
        <v>#VALUE!</v>
      </c>
    </row>
    <row r="26" spans="1:98" x14ac:dyDescent="0.3">
      <c r="A26" s="7" t="s">
        <v>588</v>
      </c>
      <c r="B26" s="7" t="s">
        <v>596</v>
      </c>
      <c r="C26" s="8">
        <v>0</v>
      </c>
      <c r="D26" s="8">
        <v>0</v>
      </c>
      <c r="E26" s="8">
        <v>1</v>
      </c>
      <c r="F26" s="8">
        <v>1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2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1</v>
      </c>
      <c r="BW26" s="8">
        <v>1</v>
      </c>
      <c r="BX26" s="8">
        <v>1</v>
      </c>
      <c r="BY26" s="8">
        <v>1</v>
      </c>
      <c r="BZ26" s="8">
        <v>1</v>
      </c>
      <c r="CA26" s="8">
        <v>0</v>
      </c>
      <c r="CB26" s="8">
        <v>0</v>
      </c>
      <c r="CC26" s="8">
        <v>0</v>
      </c>
      <c r="CD26" s="8">
        <v>1</v>
      </c>
      <c r="CE26" s="8">
        <v>1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7" t="e">
        <f>SUMPRODUCT(AssyMatrix[[#This Row],[Assy001]:[Assy075BP]],$C$1:$CS$1)</f>
        <v>#VALUE!</v>
      </c>
    </row>
    <row r="27" spans="1:98" x14ac:dyDescent="0.3">
      <c r="A27" s="7" t="s">
        <v>557</v>
      </c>
      <c r="B27" s="7" t="s">
        <v>597</v>
      </c>
      <c r="C27" s="8">
        <v>0</v>
      </c>
      <c r="D27" s="8">
        <v>0</v>
      </c>
      <c r="E27" s="8">
        <v>1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2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1</v>
      </c>
      <c r="BW27" s="8">
        <v>1</v>
      </c>
      <c r="BX27" s="8">
        <v>1</v>
      </c>
      <c r="BY27" s="8">
        <v>1</v>
      </c>
      <c r="BZ27" s="8">
        <v>0</v>
      </c>
      <c r="CA27" s="8">
        <v>1</v>
      </c>
      <c r="CB27" s="8">
        <v>2</v>
      </c>
      <c r="CC27" s="8">
        <v>1</v>
      </c>
      <c r="CD27" s="8">
        <v>1</v>
      </c>
      <c r="CE27" s="8">
        <v>1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0</v>
      </c>
      <c r="CS27" s="8">
        <v>0</v>
      </c>
      <c r="CT27" s="7" t="e">
        <f>SUMPRODUCT(AssyMatrix[[#This Row],[Assy001]:[Assy075BP]],$C$1:$CS$1)</f>
        <v>#VALUE!</v>
      </c>
    </row>
    <row r="28" spans="1:98" x14ac:dyDescent="0.3">
      <c r="A28" s="7" t="s">
        <v>568</v>
      </c>
      <c r="B28" s="7" t="s">
        <v>598</v>
      </c>
      <c r="C28" s="8">
        <v>0</v>
      </c>
      <c r="D28" s="8">
        <v>0</v>
      </c>
      <c r="E28" s="8">
        <v>1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2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1</v>
      </c>
      <c r="BW28" s="8">
        <v>1</v>
      </c>
      <c r="BX28" s="8">
        <v>1</v>
      </c>
      <c r="BY28" s="8">
        <v>1</v>
      </c>
      <c r="BZ28" s="8">
        <v>1</v>
      </c>
      <c r="CA28" s="8">
        <v>0</v>
      </c>
      <c r="CB28" s="8">
        <v>2</v>
      </c>
      <c r="CC28" s="8">
        <v>1</v>
      </c>
      <c r="CD28" s="8">
        <v>1</v>
      </c>
      <c r="CE28" s="8">
        <v>1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7" t="e">
        <f>SUMPRODUCT(AssyMatrix[[#This Row],[Assy001]:[Assy075BP]],$C$1:$CS$1)</f>
        <v>#VALUE!</v>
      </c>
    </row>
    <row r="29" spans="1:98" x14ac:dyDescent="0.3">
      <c r="A29" s="7" t="s">
        <v>558</v>
      </c>
      <c r="B29" s="7" t="s">
        <v>599</v>
      </c>
      <c r="C29" s="8">
        <v>0</v>
      </c>
      <c r="D29" s="8">
        <v>0</v>
      </c>
      <c r="E29" s="8">
        <v>1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1</v>
      </c>
      <c r="BW29" s="8">
        <v>1</v>
      </c>
      <c r="BX29" s="8">
        <v>1</v>
      </c>
      <c r="BY29" s="8">
        <v>1</v>
      </c>
      <c r="BZ29" s="8">
        <v>0</v>
      </c>
      <c r="CA29" s="8">
        <v>0</v>
      </c>
      <c r="CB29" s="8">
        <v>0</v>
      </c>
      <c r="CC29" s="8">
        <v>0</v>
      </c>
      <c r="CD29" s="8">
        <v>1</v>
      </c>
      <c r="CE29" s="8">
        <v>1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7" t="e">
        <f>SUMPRODUCT(AssyMatrix[[#This Row],[Assy001]:[Assy075BP]],$C$1:$CS$1)</f>
        <v>#VALUE!</v>
      </c>
    </row>
    <row r="30" spans="1:98" x14ac:dyDescent="0.3">
      <c r="A30" s="7" t="s">
        <v>590</v>
      </c>
      <c r="B30" s="7" t="s">
        <v>600</v>
      </c>
      <c r="C30" s="8">
        <v>0</v>
      </c>
      <c r="D30" s="8">
        <v>0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2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1</v>
      </c>
      <c r="BW30" s="8">
        <v>1</v>
      </c>
      <c r="BX30" s="8">
        <v>1</v>
      </c>
      <c r="BY30" s="8">
        <v>1</v>
      </c>
      <c r="BZ30" s="8">
        <v>0</v>
      </c>
      <c r="CA30" s="8">
        <v>1</v>
      </c>
      <c r="CB30" s="8">
        <v>0</v>
      </c>
      <c r="CC30" s="8">
        <v>0</v>
      </c>
      <c r="CD30" s="8">
        <v>1</v>
      </c>
      <c r="CE30" s="8">
        <v>1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7" t="e">
        <f>SUMPRODUCT(AssyMatrix[[#This Row],[Assy001]:[Assy075BP]],$C$1:$CS$1)</f>
        <v>#VALUE!</v>
      </c>
    </row>
    <row r="31" spans="1:98" x14ac:dyDescent="0.3">
      <c r="A31" s="7" t="s">
        <v>591</v>
      </c>
      <c r="B31" s="7" t="s">
        <v>601</v>
      </c>
      <c r="C31" s="8">
        <v>0</v>
      </c>
      <c r="D31" s="8">
        <v>0</v>
      </c>
      <c r="E31" s="8">
        <v>1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2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1</v>
      </c>
      <c r="BW31" s="8">
        <v>1</v>
      </c>
      <c r="BX31" s="8">
        <v>1</v>
      </c>
      <c r="BY31" s="8">
        <v>1</v>
      </c>
      <c r="BZ31" s="8">
        <v>1</v>
      </c>
      <c r="CA31" s="8">
        <v>0</v>
      </c>
      <c r="CB31" s="8">
        <v>0</v>
      </c>
      <c r="CC31" s="8">
        <v>0</v>
      </c>
      <c r="CD31" s="8">
        <v>1</v>
      </c>
      <c r="CE31" s="8">
        <v>1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7" t="e">
        <f>SUMPRODUCT(AssyMatrix[[#This Row],[Assy001]:[Assy075BP]],$C$1:$CS$1)</f>
        <v>#VALUE!</v>
      </c>
    </row>
    <row r="32" spans="1:98" x14ac:dyDescent="0.3">
      <c r="A32" s="7" t="s">
        <v>592</v>
      </c>
      <c r="B32" s="7" t="s">
        <v>602</v>
      </c>
      <c r="C32" s="8">
        <v>0</v>
      </c>
      <c r="D32" s="8">
        <v>0</v>
      </c>
      <c r="E32" s="8">
        <v>1</v>
      </c>
      <c r="F32" s="8">
        <v>1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2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1</v>
      </c>
      <c r="BW32" s="8">
        <v>1</v>
      </c>
      <c r="BX32" s="8">
        <v>1</v>
      </c>
      <c r="BY32" s="8">
        <v>1</v>
      </c>
      <c r="BZ32" s="8">
        <v>0</v>
      </c>
      <c r="CA32" s="8">
        <v>1</v>
      </c>
      <c r="CB32" s="8">
        <v>2</v>
      </c>
      <c r="CC32" s="8">
        <v>1</v>
      </c>
      <c r="CD32" s="8">
        <v>1</v>
      </c>
      <c r="CE32" s="8">
        <v>1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7" t="e">
        <f>SUMPRODUCT(AssyMatrix[[#This Row],[Assy001]:[Assy075BP]],$C$1:$CS$1)</f>
        <v>#VALUE!</v>
      </c>
    </row>
    <row r="33" spans="1:98" x14ac:dyDescent="0.3">
      <c r="A33" s="7" t="s">
        <v>593</v>
      </c>
      <c r="B33" s="7" t="s">
        <v>603</v>
      </c>
      <c r="C33" s="8">
        <v>0</v>
      </c>
      <c r="D33" s="8">
        <v>0</v>
      </c>
      <c r="E33" s="8">
        <v>1</v>
      </c>
      <c r="F33" s="8">
        <v>1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1</v>
      </c>
      <c r="BW33" s="8">
        <v>1</v>
      </c>
      <c r="BX33" s="8">
        <v>1</v>
      </c>
      <c r="BY33" s="8">
        <v>1</v>
      </c>
      <c r="BZ33" s="8">
        <v>1</v>
      </c>
      <c r="CA33" s="8">
        <v>0</v>
      </c>
      <c r="CB33" s="8">
        <v>2</v>
      </c>
      <c r="CC33" s="8">
        <v>1</v>
      </c>
      <c r="CD33" s="8">
        <v>1</v>
      </c>
      <c r="CE33" s="8">
        <v>1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7" t="e">
        <f>SUMPRODUCT(AssyMatrix[[#This Row],[Assy001]:[Assy075BP]],$C$1:$CS$1)</f>
        <v>#VALUE!</v>
      </c>
    </row>
    <row r="34" spans="1:98" x14ac:dyDescent="0.3">
      <c r="A34" s="7">
        <v>6520</v>
      </c>
      <c r="B34" s="7" t="s">
        <v>22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</v>
      </c>
      <c r="J34" s="8">
        <v>2</v>
      </c>
      <c r="K34" s="8">
        <v>2</v>
      </c>
      <c r="L34" s="8">
        <v>2</v>
      </c>
      <c r="M34" s="8">
        <v>2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1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7" t="e">
        <f>SUMPRODUCT(AssyMatrix[[#This Row],[Assy001]:[Assy075BP]],$C$1:$CS$1)</f>
        <v>#VALUE!</v>
      </c>
    </row>
    <row r="35" spans="1:98" x14ac:dyDescent="0.3">
      <c r="A35" s="7">
        <v>6521</v>
      </c>
      <c r="B35" s="7" t="s">
        <v>23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</v>
      </c>
      <c r="J35" s="8">
        <v>2</v>
      </c>
      <c r="K35" s="8">
        <v>2</v>
      </c>
      <c r="L35" s="8">
        <v>2</v>
      </c>
      <c r="M35" s="8">
        <v>2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1</v>
      </c>
      <c r="Z35" s="8">
        <v>0</v>
      </c>
      <c r="AA35" s="8">
        <v>0</v>
      </c>
      <c r="AB35" s="8">
        <v>2</v>
      </c>
      <c r="AC35" s="8">
        <v>0</v>
      </c>
      <c r="AD35" s="8">
        <v>1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7" t="e">
        <f>SUMPRODUCT(AssyMatrix[[#This Row],[Assy001]:[Assy075BP]],$C$1:$CS$1)</f>
        <v>#VALUE!</v>
      </c>
    </row>
    <row r="36" spans="1:98" x14ac:dyDescent="0.3">
      <c r="A36" s="7">
        <v>6522</v>
      </c>
      <c r="B36" s="7" t="s">
        <v>24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  <c r="J36" s="8">
        <v>2</v>
      </c>
      <c r="K36" s="8">
        <v>2</v>
      </c>
      <c r="L36" s="8">
        <v>2</v>
      </c>
      <c r="M36" s="8">
        <v>2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1</v>
      </c>
      <c r="Z36" s="8">
        <v>0</v>
      </c>
      <c r="AA36" s="8">
        <v>0</v>
      </c>
      <c r="AB36" s="8">
        <v>2</v>
      </c>
      <c r="AC36" s="8">
        <v>0</v>
      </c>
      <c r="AD36" s="8">
        <v>1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2</v>
      </c>
      <c r="AU36" s="8">
        <v>0</v>
      </c>
      <c r="AV36" s="8">
        <v>0</v>
      </c>
      <c r="AW36" s="8">
        <v>0</v>
      </c>
      <c r="AX36" s="8">
        <v>0</v>
      </c>
      <c r="AY36" s="8">
        <v>1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7" t="e">
        <f>SUMPRODUCT(AssyMatrix[[#This Row],[Assy001]:[Assy075BP]],$C$1:$CS$1)</f>
        <v>#VALUE!</v>
      </c>
    </row>
    <row r="37" spans="1:98" x14ac:dyDescent="0.3">
      <c r="A37" s="7">
        <v>6523</v>
      </c>
      <c r="B37" s="7" t="s">
        <v>25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</v>
      </c>
      <c r="J37" s="8">
        <v>2</v>
      </c>
      <c r="K37" s="8">
        <v>2</v>
      </c>
      <c r="L37" s="8">
        <v>2</v>
      </c>
      <c r="M37" s="8">
        <v>2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1</v>
      </c>
      <c r="Z37" s="8">
        <v>0</v>
      </c>
      <c r="AA37" s="8">
        <v>0</v>
      </c>
      <c r="AB37" s="8">
        <v>2</v>
      </c>
      <c r="AC37" s="8">
        <v>0</v>
      </c>
      <c r="AD37" s="8">
        <v>1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</v>
      </c>
      <c r="AU37" s="8">
        <v>0</v>
      </c>
      <c r="AV37" s="8">
        <v>0</v>
      </c>
      <c r="AW37" s="8">
        <v>1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7" t="e">
        <f>SUMPRODUCT(AssyMatrix[[#This Row],[Assy001]:[Assy075BP]],$C$1:$CS$1)</f>
        <v>#VALUE!</v>
      </c>
    </row>
    <row r="38" spans="1:98" x14ac:dyDescent="0.3">
      <c r="A38" s="7" t="s">
        <v>681</v>
      </c>
      <c r="B38" s="7" t="s">
        <v>26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</v>
      </c>
      <c r="J38" s="8">
        <v>2</v>
      </c>
      <c r="K38" s="8">
        <v>2</v>
      </c>
      <c r="L38" s="8">
        <v>2</v>
      </c>
      <c r="M38" s="8">
        <v>2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1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2</v>
      </c>
      <c r="AG38" s="8">
        <v>0</v>
      </c>
      <c r="AH38" s="8">
        <v>1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7" t="e">
        <f>SUMPRODUCT(AssyMatrix[[#This Row],[Assy001]:[Assy075BP]],$C$1:$CS$1)</f>
        <v>#VALUE!</v>
      </c>
    </row>
    <row r="39" spans="1:98" x14ac:dyDescent="0.3">
      <c r="A39" s="7" t="s">
        <v>683</v>
      </c>
      <c r="B39" s="7" t="s">
        <v>27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2</v>
      </c>
      <c r="J39" s="8">
        <v>2</v>
      </c>
      <c r="K39" s="8">
        <v>2</v>
      </c>
      <c r="L39" s="8">
        <v>2</v>
      </c>
      <c r="M39" s="8">
        <v>2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1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2</v>
      </c>
      <c r="AG39" s="8">
        <v>0</v>
      </c>
      <c r="AH39" s="8">
        <v>1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2</v>
      </c>
      <c r="AU39" s="8">
        <v>0</v>
      </c>
      <c r="AV39" s="8">
        <v>0</v>
      </c>
      <c r="AW39" s="8">
        <v>0</v>
      </c>
      <c r="AX39" s="8">
        <v>0</v>
      </c>
      <c r="AY39" s="8">
        <v>1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7" t="e">
        <f>SUMPRODUCT(AssyMatrix[[#This Row],[Assy001]:[Assy075BP]],$C$1:$CS$1)</f>
        <v>#VALUE!</v>
      </c>
    </row>
    <row r="40" spans="1:98" x14ac:dyDescent="0.3">
      <c r="A40" s="7" t="s">
        <v>685</v>
      </c>
      <c r="B40" s="7" t="s">
        <v>28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2</v>
      </c>
      <c r="J40" s="8">
        <v>2</v>
      </c>
      <c r="K40" s="8">
        <v>2</v>
      </c>
      <c r="L40" s="8">
        <v>2</v>
      </c>
      <c r="M40" s="8">
        <v>2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1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2</v>
      </c>
      <c r="AG40" s="8">
        <v>0</v>
      </c>
      <c r="AH40" s="8">
        <v>1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2</v>
      </c>
      <c r="AU40" s="8">
        <v>0</v>
      </c>
      <c r="AV40" s="8">
        <v>0</v>
      </c>
      <c r="AW40" s="8">
        <v>1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7" t="e">
        <f>SUMPRODUCT(AssyMatrix[[#This Row],[Assy001]:[Assy075BP]],$C$1:$CS$1)</f>
        <v>#VALUE!</v>
      </c>
    </row>
    <row r="41" spans="1:98" x14ac:dyDescent="0.3">
      <c r="A41" s="7" t="s">
        <v>452</v>
      </c>
      <c r="B41" s="7" t="s">
        <v>29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2</v>
      </c>
      <c r="J41" s="8">
        <v>2</v>
      </c>
      <c r="K41" s="8">
        <v>2</v>
      </c>
      <c r="L41" s="8">
        <v>2</v>
      </c>
      <c r="M41" s="8">
        <v>2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1</v>
      </c>
      <c r="Z41" s="8">
        <v>1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1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7" t="e">
        <f>SUMPRODUCT(AssyMatrix[[#This Row],[Assy001]:[Assy075BP]],$C$1:$CS$1)</f>
        <v>#VALUE!</v>
      </c>
    </row>
    <row r="42" spans="1:98" x14ac:dyDescent="0.3">
      <c r="A42" s="7" t="s">
        <v>453</v>
      </c>
      <c r="B42" s="7" t="s">
        <v>30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</v>
      </c>
      <c r="J42" s="8">
        <v>2</v>
      </c>
      <c r="K42" s="8">
        <v>2</v>
      </c>
      <c r="L42" s="8">
        <v>2</v>
      </c>
      <c r="M42" s="8">
        <v>2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</v>
      </c>
      <c r="Z42" s="8">
        <v>1</v>
      </c>
      <c r="AA42" s="8">
        <v>0</v>
      </c>
      <c r="AB42" s="8">
        <v>2</v>
      </c>
      <c r="AC42" s="8">
        <v>0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1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7" t="e">
        <f>SUMPRODUCT(AssyMatrix[[#This Row],[Assy001]:[Assy075BP]],$C$1:$CS$1)</f>
        <v>#VALUE!</v>
      </c>
    </row>
    <row r="43" spans="1:98" x14ac:dyDescent="0.3">
      <c r="A43" s="7" t="s">
        <v>454</v>
      </c>
      <c r="B43" s="7" t="s">
        <v>31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2</v>
      </c>
      <c r="J43" s="8">
        <v>2</v>
      </c>
      <c r="K43" s="8">
        <v>2</v>
      </c>
      <c r="L43" s="8">
        <v>2</v>
      </c>
      <c r="M43" s="8">
        <v>2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1</v>
      </c>
      <c r="Z43" s="8">
        <v>1</v>
      </c>
      <c r="AA43" s="8">
        <v>0</v>
      </c>
      <c r="AB43" s="8">
        <v>2</v>
      </c>
      <c r="AC43" s="8">
        <v>0</v>
      </c>
      <c r="AD43" s="8">
        <v>1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2</v>
      </c>
      <c r="AU43" s="8">
        <v>0</v>
      </c>
      <c r="AV43" s="8">
        <v>0</v>
      </c>
      <c r="AW43" s="8">
        <v>0</v>
      </c>
      <c r="AX43" s="8">
        <v>0</v>
      </c>
      <c r="AY43" s="8">
        <v>1</v>
      </c>
      <c r="AZ43" s="8">
        <v>0</v>
      </c>
      <c r="BA43" s="8">
        <v>0</v>
      </c>
      <c r="BB43" s="8">
        <v>0</v>
      </c>
      <c r="BC43" s="8">
        <v>1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7" t="e">
        <f>SUMPRODUCT(AssyMatrix[[#This Row],[Assy001]:[Assy075BP]],$C$1:$CS$1)</f>
        <v>#VALUE!</v>
      </c>
    </row>
    <row r="44" spans="1:98" x14ac:dyDescent="0.3">
      <c r="A44" s="7" t="s">
        <v>455</v>
      </c>
      <c r="B44" s="7" t="s">
        <v>32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</v>
      </c>
      <c r="J44" s="8">
        <v>2</v>
      </c>
      <c r="K44" s="8">
        <v>2</v>
      </c>
      <c r="L44" s="8">
        <v>2</v>
      </c>
      <c r="M44" s="8">
        <v>2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1</v>
      </c>
      <c r="Z44" s="8">
        <v>1</v>
      </c>
      <c r="AA44" s="8">
        <v>0</v>
      </c>
      <c r="AB44" s="8">
        <v>2</v>
      </c>
      <c r="AC44" s="8">
        <v>0</v>
      </c>
      <c r="AD44" s="8">
        <v>1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2</v>
      </c>
      <c r="AU44" s="8">
        <v>0</v>
      </c>
      <c r="AV44" s="8">
        <v>0</v>
      </c>
      <c r="AW44" s="8">
        <v>1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1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7" t="e">
        <f>SUMPRODUCT(AssyMatrix[[#This Row],[Assy001]:[Assy075BP]],$C$1:$CS$1)</f>
        <v>#VALUE!</v>
      </c>
    </row>
    <row r="45" spans="1:98" x14ac:dyDescent="0.3">
      <c r="A45" s="7" t="s">
        <v>733</v>
      </c>
      <c r="B45" s="7" t="s">
        <v>33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2</v>
      </c>
      <c r="J45" s="8">
        <v>2</v>
      </c>
      <c r="K45" s="8">
        <v>2</v>
      </c>
      <c r="L45" s="8">
        <v>2</v>
      </c>
      <c r="M45" s="8">
        <v>2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1</v>
      </c>
      <c r="Z45" s="8">
        <v>1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2</v>
      </c>
      <c r="AG45" s="8">
        <v>0</v>
      </c>
      <c r="AH45" s="8">
        <v>1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1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7" t="e">
        <f>SUMPRODUCT(AssyMatrix[[#This Row],[Assy001]:[Assy075BP]],$C$1:$CS$1)</f>
        <v>#VALUE!</v>
      </c>
    </row>
    <row r="46" spans="1:98" x14ac:dyDescent="0.3">
      <c r="A46" s="7" t="s">
        <v>734</v>
      </c>
      <c r="B46" s="7" t="s">
        <v>33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1</v>
      </c>
      <c r="Z46" s="8">
        <v>1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2</v>
      </c>
      <c r="AG46" s="8">
        <v>0</v>
      </c>
      <c r="AH46" s="8">
        <v>1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2</v>
      </c>
      <c r="AU46" s="8">
        <v>0</v>
      </c>
      <c r="AV46" s="8">
        <v>0</v>
      </c>
      <c r="AW46" s="8">
        <v>0</v>
      </c>
      <c r="AX46" s="8">
        <v>0</v>
      </c>
      <c r="AY46" s="8">
        <v>1</v>
      </c>
      <c r="AZ46" s="8">
        <v>0</v>
      </c>
      <c r="BA46" s="8">
        <v>0</v>
      </c>
      <c r="BB46" s="8">
        <v>0</v>
      </c>
      <c r="BC46" s="8">
        <v>1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7" t="e">
        <f>SUMPRODUCT(AssyMatrix[[#This Row],[Assy001]:[Assy075BP]],$C$1:$CS$1)</f>
        <v>#VALUE!</v>
      </c>
    </row>
    <row r="47" spans="1:98" x14ac:dyDescent="0.3">
      <c r="A47" s="7" t="s">
        <v>735</v>
      </c>
      <c r="B47" s="7" t="s">
        <v>34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1</v>
      </c>
      <c r="Z47" s="8">
        <v>1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2</v>
      </c>
      <c r="AG47" s="8">
        <v>0</v>
      </c>
      <c r="AH47" s="8">
        <v>1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2</v>
      </c>
      <c r="AU47" s="8">
        <v>0</v>
      </c>
      <c r="AV47" s="8">
        <v>0</v>
      </c>
      <c r="AW47" s="8">
        <v>1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1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7" t="e">
        <f>SUMPRODUCT(AssyMatrix[[#This Row],[Assy001]:[Assy075BP]],$C$1:$CS$1)</f>
        <v>#VALUE!</v>
      </c>
    </row>
    <row r="48" spans="1:98" x14ac:dyDescent="0.3">
      <c r="A48" s="7">
        <v>6532</v>
      </c>
      <c r="B48" s="7" t="s">
        <v>35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2</v>
      </c>
      <c r="O48" s="8">
        <v>2</v>
      </c>
      <c r="P48" s="8">
        <v>2</v>
      </c>
      <c r="Q48" s="8">
        <v>2</v>
      </c>
      <c r="R48" s="8">
        <v>2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2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2</v>
      </c>
      <c r="AU48" s="8">
        <v>0</v>
      </c>
      <c r="AV48" s="8">
        <v>0</v>
      </c>
      <c r="AW48" s="8">
        <v>0</v>
      </c>
      <c r="AX48" s="8">
        <v>0</v>
      </c>
      <c r="AY48" s="8">
        <v>1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7" t="e">
        <f>SUMPRODUCT(AssyMatrix[[#This Row],[Assy001]:[Assy075BP]],$C$1:$CS$1)</f>
        <v>#VALUE!</v>
      </c>
    </row>
    <row r="49" spans="1:98" x14ac:dyDescent="0.3">
      <c r="A49" s="7">
        <v>6533</v>
      </c>
      <c r="B49" s="7" t="s">
        <v>36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2</v>
      </c>
      <c r="O49" s="8">
        <v>2</v>
      </c>
      <c r="P49" s="8">
        <v>2</v>
      </c>
      <c r="Q49" s="8">
        <v>2</v>
      </c>
      <c r="R49" s="8">
        <v>2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2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2</v>
      </c>
      <c r="AU49" s="8">
        <v>0</v>
      </c>
      <c r="AV49" s="8">
        <v>0</v>
      </c>
      <c r="AW49" s="8">
        <v>1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7" t="e">
        <f>SUMPRODUCT(AssyMatrix[[#This Row],[Assy001]:[Assy075BP]],$C$1:$CS$1)</f>
        <v>#VALUE!</v>
      </c>
    </row>
    <row r="50" spans="1:98" x14ac:dyDescent="0.3">
      <c r="A50" s="7">
        <v>6534</v>
      </c>
      <c r="B50" s="7" t="s">
        <v>37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2</v>
      </c>
      <c r="U50" s="8">
        <v>2</v>
      </c>
      <c r="V50" s="8">
        <v>2</v>
      </c>
      <c r="W50" s="8">
        <v>2</v>
      </c>
      <c r="X50" s="8">
        <v>2</v>
      </c>
      <c r="Y50" s="8">
        <v>0</v>
      </c>
      <c r="Z50" s="8">
        <v>0</v>
      </c>
      <c r="AA50" s="8">
        <v>0</v>
      </c>
      <c r="AB50" s="8">
        <v>0</v>
      </c>
      <c r="AC50" s="8">
        <v>2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2</v>
      </c>
      <c r="AV50" s="8">
        <v>0</v>
      </c>
      <c r="AW50" s="8">
        <v>0</v>
      </c>
      <c r="AX50" s="8">
        <v>0</v>
      </c>
      <c r="AY50" s="8">
        <v>0</v>
      </c>
      <c r="AZ50" s="8">
        <v>1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7" t="e">
        <f>SUMPRODUCT(AssyMatrix[[#This Row],[Assy001]:[Assy075BP]],$C$1:$CS$1)</f>
        <v>#VALUE!</v>
      </c>
    </row>
    <row r="51" spans="1:98" x14ac:dyDescent="0.3">
      <c r="A51" s="7">
        <v>6535</v>
      </c>
      <c r="B51" s="7" t="s">
        <v>38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2</v>
      </c>
      <c r="U51" s="8">
        <v>2</v>
      </c>
      <c r="V51" s="8">
        <v>2</v>
      </c>
      <c r="W51" s="8">
        <v>2</v>
      </c>
      <c r="X51" s="8">
        <v>2</v>
      </c>
      <c r="Y51" s="8">
        <v>0</v>
      </c>
      <c r="Z51" s="8">
        <v>0</v>
      </c>
      <c r="AA51" s="8">
        <v>0</v>
      </c>
      <c r="AB51" s="8">
        <v>0</v>
      </c>
      <c r="AC51" s="8">
        <v>2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2</v>
      </c>
      <c r="AV51" s="8">
        <v>0</v>
      </c>
      <c r="AW51" s="8">
        <v>1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7" t="e">
        <f>SUMPRODUCT(AssyMatrix[[#This Row],[Assy001]:[Assy075BP]],$C$1:$CS$1)</f>
        <v>#VALUE!</v>
      </c>
    </row>
    <row r="52" spans="1:98" x14ac:dyDescent="0.3">
      <c r="A52" s="7" t="s">
        <v>686</v>
      </c>
      <c r="B52" s="7" t="s">
        <v>39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2</v>
      </c>
      <c r="O52" s="8">
        <v>2</v>
      </c>
      <c r="P52" s="8">
        <v>2</v>
      </c>
      <c r="Q52" s="8">
        <v>2</v>
      </c>
      <c r="R52" s="8">
        <v>2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2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2</v>
      </c>
      <c r="AU52" s="8">
        <v>0</v>
      </c>
      <c r="AV52" s="8">
        <v>0</v>
      </c>
      <c r="AW52" s="8">
        <v>0</v>
      </c>
      <c r="AX52" s="8">
        <v>0</v>
      </c>
      <c r="AY52" s="8">
        <v>1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7" t="e">
        <f>SUMPRODUCT(AssyMatrix[[#This Row],[Assy001]:[Assy075BP]],$C$1:$CS$1)</f>
        <v>#VALUE!</v>
      </c>
    </row>
    <row r="53" spans="1:98" x14ac:dyDescent="0.3">
      <c r="A53" s="7" t="s">
        <v>687</v>
      </c>
      <c r="B53" s="7" t="s">
        <v>40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</v>
      </c>
      <c r="O53" s="8">
        <v>2</v>
      </c>
      <c r="P53" s="8">
        <v>2</v>
      </c>
      <c r="Q53" s="8">
        <v>2</v>
      </c>
      <c r="R53" s="8">
        <v>2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2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2</v>
      </c>
      <c r="AU53" s="8">
        <v>0</v>
      </c>
      <c r="AV53" s="8">
        <v>0</v>
      </c>
      <c r="AW53" s="8">
        <v>1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7" t="e">
        <f>SUMPRODUCT(AssyMatrix[[#This Row],[Assy001]:[Assy075BP]],$C$1:$CS$1)</f>
        <v>#VALUE!</v>
      </c>
    </row>
    <row r="54" spans="1:98" x14ac:dyDescent="0.3">
      <c r="A54" s="7" t="s">
        <v>688</v>
      </c>
      <c r="B54" s="7" t="s">
        <v>41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2</v>
      </c>
      <c r="U54" s="8">
        <v>2</v>
      </c>
      <c r="V54" s="8">
        <v>2</v>
      </c>
      <c r="W54" s="8">
        <v>2</v>
      </c>
      <c r="X54" s="8">
        <v>2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2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2</v>
      </c>
      <c r="AV54" s="8">
        <v>0</v>
      </c>
      <c r="AW54" s="8">
        <v>0</v>
      </c>
      <c r="AX54" s="8">
        <v>0</v>
      </c>
      <c r="AY54" s="8">
        <v>0</v>
      </c>
      <c r="AZ54" s="8">
        <v>1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7" t="e">
        <f>SUMPRODUCT(AssyMatrix[[#This Row],[Assy001]:[Assy075BP]],$C$1:$CS$1)</f>
        <v>#VALUE!</v>
      </c>
    </row>
    <row r="55" spans="1:98" x14ac:dyDescent="0.3">
      <c r="A55" s="7" t="s">
        <v>689</v>
      </c>
      <c r="B55" s="7" t="s">
        <v>42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2</v>
      </c>
      <c r="U55" s="8">
        <v>2</v>
      </c>
      <c r="V55" s="8">
        <v>2</v>
      </c>
      <c r="W55" s="8">
        <v>2</v>
      </c>
      <c r="X55" s="8">
        <v>2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2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2</v>
      </c>
      <c r="AV55" s="8">
        <v>0</v>
      </c>
      <c r="AW55" s="8">
        <v>1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7" t="e">
        <f>SUMPRODUCT(AssyMatrix[[#This Row],[Assy001]:[Assy075BP]],$C$1:$CS$1)</f>
        <v>#VALUE!</v>
      </c>
    </row>
    <row r="56" spans="1:98" x14ac:dyDescent="0.3">
      <c r="A56" s="7" t="s">
        <v>469</v>
      </c>
      <c r="B56" s="7" t="s">
        <v>43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2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2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2</v>
      </c>
      <c r="AU56" s="8">
        <v>0</v>
      </c>
      <c r="AV56" s="8">
        <v>0</v>
      </c>
      <c r="AW56" s="8">
        <v>0</v>
      </c>
      <c r="AX56" s="8">
        <v>0</v>
      </c>
      <c r="AY56" s="8">
        <v>1</v>
      </c>
      <c r="AZ56" s="8">
        <v>0</v>
      </c>
      <c r="BA56" s="8">
        <v>0</v>
      </c>
      <c r="BB56" s="8">
        <v>0</v>
      </c>
      <c r="BC56" s="8">
        <v>0</v>
      </c>
      <c r="BD56" s="8">
        <v>1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8">
        <v>0</v>
      </c>
      <c r="CL56" s="8">
        <v>0</v>
      </c>
      <c r="CM56" s="8">
        <v>0</v>
      </c>
      <c r="CN56" s="8">
        <v>0</v>
      </c>
      <c r="CO56" s="8">
        <v>0</v>
      </c>
      <c r="CP56" s="8">
        <v>0</v>
      </c>
      <c r="CQ56" s="8">
        <v>0</v>
      </c>
      <c r="CR56" s="8">
        <v>0</v>
      </c>
      <c r="CS56" s="8">
        <v>0</v>
      </c>
      <c r="CT56" s="7" t="e">
        <f>SUMPRODUCT(AssyMatrix[[#This Row],[Assy001]:[Assy075BP]],$C$1:$CS$1)</f>
        <v>#VALUE!</v>
      </c>
    </row>
    <row r="57" spans="1:98" x14ac:dyDescent="0.3">
      <c r="A57" s="7" t="s">
        <v>473</v>
      </c>
      <c r="B57" s="7" t="s">
        <v>43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2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2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2</v>
      </c>
      <c r="AU57" s="8">
        <v>0</v>
      </c>
      <c r="AV57" s="8">
        <v>0</v>
      </c>
      <c r="AW57" s="8">
        <v>0</v>
      </c>
      <c r="AX57" s="8">
        <v>0</v>
      </c>
      <c r="AY57" s="8">
        <v>1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1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7" t="e">
        <f>SUMPRODUCT(AssyMatrix[[#This Row],[Assy001]:[Assy075BP]],$C$1:$CS$1)</f>
        <v>#VALUE!</v>
      </c>
    </row>
    <row r="58" spans="1:98" x14ac:dyDescent="0.3">
      <c r="A58" s="7" t="s">
        <v>470</v>
      </c>
      <c r="B58" s="7" t="s">
        <v>44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2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2</v>
      </c>
      <c r="AU58" s="8">
        <v>0</v>
      </c>
      <c r="AV58" s="8">
        <v>0</v>
      </c>
      <c r="AW58" s="8">
        <v>1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1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>
        <v>0</v>
      </c>
      <c r="CO58" s="8">
        <v>0</v>
      </c>
      <c r="CP58" s="8">
        <v>0</v>
      </c>
      <c r="CQ58" s="8">
        <v>0</v>
      </c>
      <c r="CR58" s="8">
        <v>0</v>
      </c>
      <c r="CS58" s="8">
        <v>0</v>
      </c>
      <c r="CT58" s="7" t="e">
        <f>SUMPRODUCT(AssyMatrix[[#This Row],[Assy001]:[Assy075BP]],$C$1:$CS$1)</f>
        <v>#VALUE!</v>
      </c>
    </row>
    <row r="59" spans="1:98" x14ac:dyDescent="0.3">
      <c r="A59" s="7" t="s">
        <v>474</v>
      </c>
      <c r="B59" s="7" t="s">
        <v>44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2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2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2</v>
      </c>
      <c r="AU59" s="8">
        <v>0</v>
      </c>
      <c r="AV59" s="8">
        <v>0</v>
      </c>
      <c r="AW59" s="8">
        <v>1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1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7" t="e">
        <f>SUMPRODUCT(AssyMatrix[[#This Row],[Assy001]:[Assy075BP]],$C$1:$CS$1)</f>
        <v>#VALUE!</v>
      </c>
    </row>
    <row r="60" spans="1:98" x14ac:dyDescent="0.3">
      <c r="A60" s="7" t="s">
        <v>477</v>
      </c>
      <c r="B60" s="7" t="s">
        <v>45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2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2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2</v>
      </c>
      <c r="AU60" s="8">
        <v>0</v>
      </c>
      <c r="AV60" s="8">
        <v>0</v>
      </c>
      <c r="AW60" s="8">
        <v>0</v>
      </c>
      <c r="AX60" s="8">
        <v>0</v>
      </c>
      <c r="AY60" s="8">
        <v>1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1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8">
        <v>0</v>
      </c>
      <c r="CP60" s="8">
        <v>0</v>
      </c>
      <c r="CQ60" s="8">
        <v>0</v>
      </c>
      <c r="CR60" s="8">
        <v>0</v>
      </c>
      <c r="CS60" s="8">
        <v>0</v>
      </c>
      <c r="CT60" s="7" t="e">
        <f>SUMPRODUCT(AssyMatrix[[#This Row],[Assy001]:[Assy075BP]],$C$1:$CS$1)</f>
        <v>#VALUE!</v>
      </c>
    </row>
    <row r="61" spans="1:98" x14ac:dyDescent="0.3">
      <c r="A61" s="7" t="s">
        <v>485</v>
      </c>
      <c r="B61" s="7" t="s">
        <v>45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2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2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2</v>
      </c>
      <c r="AU61" s="8">
        <v>0</v>
      </c>
      <c r="AV61" s="8">
        <v>0</v>
      </c>
      <c r="AW61" s="8">
        <v>0</v>
      </c>
      <c r="AX61" s="8">
        <v>0</v>
      </c>
      <c r="AY61" s="8">
        <v>1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1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7" t="e">
        <f>SUMPRODUCT(AssyMatrix[[#This Row],[Assy001]:[Assy075BP]],$C$1:$CS$1)</f>
        <v>#VALUE!</v>
      </c>
    </row>
    <row r="62" spans="1:98" x14ac:dyDescent="0.3">
      <c r="A62" s="7" t="s">
        <v>478</v>
      </c>
      <c r="B62" s="7" t="s">
        <v>46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2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2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2</v>
      </c>
      <c r="AU62" s="8">
        <v>0</v>
      </c>
      <c r="AV62" s="8">
        <v>0</v>
      </c>
      <c r="AW62" s="8">
        <v>1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1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  <c r="CM62" s="8">
        <v>0</v>
      </c>
      <c r="CN62" s="8">
        <v>0</v>
      </c>
      <c r="CO62" s="8">
        <v>0</v>
      </c>
      <c r="CP62" s="8">
        <v>0</v>
      </c>
      <c r="CQ62" s="8">
        <v>0</v>
      </c>
      <c r="CR62" s="8">
        <v>0</v>
      </c>
      <c r="CS62" s="8">
        <v>0</v>
      </c>
      <c r="CT62" s="7" t="e">
        <f>SUMPRODUCT(AssyMatrix[[#This Row],[Assy001]:[Assy075BP]],$C$1:$CS$1)</f>
        <v>#VALUE!</v>
      </c>
    </row>
    <row r="63" spans="1:98" x14ac:dyDescent="0.3">
      <c r="A63" s="7" t="s">
        <v>486</v>
      </c>
      <c r="B63" s="7" t="s">
        <v>46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2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2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2</v>
      </c>
      <c r="AU63" s="8">
        <v>0</v>
      </c>
      <c r="AV63" s="8">
        <v>0</v>
      </c>
      <c r="AW63" s="8">
        <v>1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1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8">
        <v>0</v>
      </c>
      <c r="CL63" s="8">
        <v>0</v>
      </c>
      <c r="CM63" s="8">
        <v>0</v>
      </c>
      <c r="CN63" s="8">
        <v>0</v>
      </c>
      <c r="CO63" s="8">
        <v>0</v>
      </c>
      <c r="CP63" s="8">
        <v>0</v>
      </c>
      <c r="CQ63" s="8">
        <v>0</v>
      </c>
      <c r="CR63" s="8">
        <v>0</v>
      </c>
      <c r="CS63" s="8">
        <v>0</v>
      </c>
      <c r="CT63" s="7" t="e">
        <f>SUMPRODUCT(AssyMatrix[[#This Row],[Assy001]:[Assy075BP]],$C$1:$CS$1)</f>
        <v>#VALUE!</v>
      </c>
    </row>
    <row r="64" spans="1:98" x14ac:dyDescent="0.3">
      <c r="A64" s="7" t="s">
        <v>479</v>
      </c>
      <c r="B64" s="7" t="s">
        <v>47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2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2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2</v>
      </c>
      <c r="AV64" s="8">
        <v>0</v>
      </c>
      <c r="AW64" s="8">
        <v>0</v>
      </c>
      <c r="AX64" s="8">
        <v>0</v>
      </c>
      <c r="AY64" s="8">
        <v>0</v>
      </c>
      <c r="AZ64" s="8">
        <v>1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1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8">
        <v>0</v>
      </c>
      <c r="CL64" s="8">
        <v>0</v>
      </c>
      <c r="CM64" s="8">
        <v>0</v>
      </c>
      <c r="CN64" s="8">
        <v>0</v>
      </c>
      <c r="CO64" s="8">
        <v>0</v>
      </c>
      <c r="CP64" s="8">
        <v>0</v>
      </c>
      <c r="CQ64" s="8">
        <v>0</v>
      </c>
      <c r="CR64" s="8">
        <v>0</v>
      </c>
      <c r="CS64" s="8">
        <v>0</v>
      </c>
      <c r="CT64" s="7" t="e">
        <f>SUMPRODUCT(AssyMatrix[[#This Row],[Assy001]:[Assy075BP]],$C$1:$CS$1)</f>
        <v>#VALUE!</v>
      </c>
    </row>
    <row r="65" spans="1:98" x14ac:dyDescent="0.3">
      <c r="A65" s="7" t="s">
        <v>487</v>
      </c>
      <c r="B65" s="7" t="s">
        <v>47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2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2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2</v>
      </c>
      <c r="AV65" s="8">
        <v>0</v>
      </c>
      <c r="AW65" s="8">
        <v>0</v>
      </c>
      <c r="AX65" s="8">
        <v>0</v>
      </c>
      <c r="AY65" s="8">
        <v>0</v>
      </c>
      <c r="AZ65" s="8">
        <v>1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1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</v>
      </c>
      <c r="CT65" s="7" t="e">
        <f>SUMPRODUCT(AssyMatrix[[#This Row],[Assy001]:[Assy075BP]],$C$1:$CS$1)</f>
        <v>#VALUE!</v>
      </c>
    </row>
    <row r="66" spans="1:98" x14ac:dyDescent="0.3">
      <c r="A66" s="7" t="s">
        <v>493</v>
      </c>
      <c r="B66" s="7" t="s">
        <v>265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2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2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2</v>
      </c>
      <c r="AV66" s="8">
        <v>0</v>
      </c>
      <c r="AW66" s="8">
        <v>0</v>
      </c>
      <c r="AX66" s="8">
        <v>0</v>
      </c>
      <c r="AY66" s="8">
        <v>0</v>
      </c>
      <c r="AZ66" s="8">
        <v>1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1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0</v>
      </c>
      <c r="CT66" s="7" t="e">
        <f>SUMPRODUCT(AssyMatrix[[#This Row],[Assy001]:[Assy075BP]],$C$1:$CS$1)</f>
        <v>#VALUE!</v>
      </c>
    </row>
    <row r="67" spans="1:98" x14ac:dyDescent="0.3">
      <c r="A67" s="7" t="s">
        <v>497</v>
      </c>
      <c r="B67" s="7" t="s">
        <v>265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2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2</v>
      </c>
      <c r="AV67" s="8">
        <v>0</v>
      </c>
      <c r="AW67" s="8">
        <v>0</v>
      </c>
      <c r="AX67" s="8">
        <v>0</v>
      </c>
      <c r="AY67" s="8">
        <v>0</v>
      </c>
      <c r="AZ67" s="8">
        <v>1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1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7" t="e">
        <f>SUMPRODUCT(AssyMatrix[[#This Row],[Assy001]:[Assy075BP]],$C$1:$CS$1)</f>
        <v>#VALUE!</v>
      </c>
    </row>
    <row r="68" spans="1:98" x14ac:dyDescent="0.3">
      <c r="A68" s="7" t="s">
        <v>480</v>
      </c>
      <c r="B68" s="7" t="s">
        <v>48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2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2</v>
      </c>
      <c r="AV68" s="8">
        <v>0</v>
      </c>
      <c r="AW68" s="8">
        <v>1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1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  <c r="CM68" s="8">
        <v>0</v>
      </c>
      <c r="CN68" s="8">
        <v>0</v>
      </c>
      <c r="CO68" s="8">
        <v>0</v>
      </c>
      <c r="CP68" s="8">
        <v>0</v>
      </c>
      <c r="CQ68" s="8">
        <v>0</v>
      </c>
      <c r="CR68" s="8">
        <v>0</v>
      </c>
      <c r="CS68" s="8">
        <v>0</v>
      </c>
      <c r="CT68" s="7" t="e">
        <f>SUMPRODUCT(AssyMatrix[[#This Row],[Assy001]:[Assy075BP]],$C$1:$CS$1)</f>
        <v>#VALUE!</v>
      </c>
    </row>
    <row r="69" spans="1:98" x14ac:dyDescent="0.3">
      <c r="A69" s="7" t="s">
        <v>488</v>
      </c>
      <c r="B69" s="7" t="s">
        <v>48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2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2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2</v>
      </c>
      <c r="AV69" s="8">
        <v>0</v>
      </c>
      <c r="AW69" s="8">
        <v>1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1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  <c r="CM69" s="8">
        <v>0</v>
      </c>
      <c r="CN69" s="8">
        <v>0</v>
      </c>
      <c r="CO69" s="8">
        <v>0</v>
      </c>
      <c r="CP69" s="8">
        <v>0</v>
      </c>
      <c r="CQ69" s="8">
        <v>0</v>
      </c>
      <c r="CR69" s="8">
        <v>0</v>
      </c>
      <c r="CS69" s="8">
        <v>0</v>
      </c>
      <c r="CT69" s="7" t="e">
        <f>SUMPRODUCT(AssyMatrix[[#This Row],[Assy001]:[Assy075BP]],$C$1:$CS$1)</f>
        <v>#VALUE!</v>
      </c>
    </row>
    <row r="70" spans="1:98" x14ac:dyDescent="0.3">
      <c r="A70" s="7" t="s">
        <v>494</v>
      </c>
      <c r="B70" s="7" t="s">
        <v>270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2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2</v>
      </c>
      <c r="AV70" s="8">
        <v>0</v>
      </c>
      <c r="AW70" s="8">
        <v>1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1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  <c r="CM70" s="8">
        <v>0</v>
      </c>
      <c r="CN70" s="8">
        <v>0</v>
      </c>
      <c r="CO70" s="8">
        <v>0</v>
      </c>
      <c r="CP70" s="8">
        <v>0</v>
      </c>
      <c r="CQ70" s="8">
        <v>0</v>
      </c>
      <c r="CR70" s="8">
        <v>0</v>
      </c>
      <c r="CS70" s="8">
        <v>0</v>
      </c>
      <c r="CT70" s="7" t="e">
        <f>SUMPRODUCT(AssyMatrix[[#This Row],[Assy001]:[Assy075BP]],$C$1:$CS$1)</f>
        <v>#VALUE!</v>
      </c>
    </row>
    <row r="71" spans="1:98" x14ac:dyDescent="0.3">
      <c r="A71" s="7" t="s">
        <v>498</v>
      </c>
      <c r="B71" s="7" t="s">
        <v>270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2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2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2</v>
      </c>
      <c r="AV71" s="8">
        <v>0</v>
      </c>
      <c r="AW71" s="8">
        <v>1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1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7" t="e">
        <f>SUMPRODUCT(AssyMatrix[[#This Row],[Assy001]:[Assy075BP]],$C$1:$CS$1)</f>
        <v>#VALUE!</v>
      </c>
    </row>
    <row r="72" spans="1:98" x14ac:dyDescent="0.3">
      <c r="A72" s="7" t="s">
        <v>736</v>
      </c>
      <c r="B72" s="7" t="s">
        <v>49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2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2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2</v>
      </c>
      <c r="AU72" s="8">
        <v>0</v>
      </c>
      <c r="AV72" s="8">
        <v>0</v>
      </c>
      <c r="AW72" s="8">
        <v>0</v>
      </c>
      <c r="AX72" s="8">
        <v>0</v>
      </c>
      <c r="AY72" s="8">
        <v>1</v>
      </c>
      <c r="AZ72" s="8">
        <v>0</v>
      </c>
      <c r="BA72" s="8">
        <v>0</v>
      </c>
      <c r="BB72" s="8">
        <v>0</v>
      </c>
      <c r="BC72" s="8">
        <v>0</v>
      </c>
      <c r="BD72" s="8">
        <v>1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  <c r="CM72" s="8">
        <v>0</v>
      </c>
      <c r="CN72" s="8">
        <v>0</v>
      </c>
      <c r="CO72" s="8">
        <v>0</v>
      </c>
      <c r="CP72" s="8">
        <v>0</v>
      </c>
      <c r="CQ72" s="8">
        <v>0</v>
      </c>
      <c r="CR72" s="8">
        <v>0</v>
      </c>
      <c r="CS72" s="8">
        <v>0</v>
      </c>
      <c r="CT72" s="7" t="e">
        <f>SUMPRODUCT(AssyMatrix[[#This Row],[Assy001]:[Assy075BP]],$C$1:$CS$1)</f>
        <v>#VALUE!</v>
      </c>
    </row>
    <row r="73" spans="1:98" x14ac:dyDescent="0.3">
      <c r="A73" s="7" t="s">
        <v>737</v>
      </c>
      <c r="B73" s="7" t="s">
        <v>49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2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2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2</v>
      </c>
      <c r="AU73" s="8">
        <v>0</v>
      </c>
      <c r="AV73" s="8">
        <v>0</v>
      </c>
      <c r="AW73" s="8">
        <v>0</v>
      </c>
      <c r="AX73" s="8">
        <v>0</v>
      </c>
      <c r="AY73" s="8">
        <v>1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1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7" t="e">
        <f>SUMPRODUCT(AssyMatrix[[#This Row],[Assy001]:[Assy075BP]],$C$1:$CS$1)</f>
        <v>#VALUE!</v>
      </c>
    </row>
    <row r="74" spans="1:98" x14ac:dyDescent="0.3">
      <c r="A74" s="7" t="s">
        <v>738</v>
      </c>
      <c r="B74" s="7" t="s">
        <v>50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2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2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2</v>
      </c>
      <c r="AU74" s="8">
        <v>0</v>
      </c>
      <c r="AV74" s="8">
        <v>0</v>
      </c>
      <c r="AW74" s="8">
        <v>1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1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  <c r="CM74" s="8">
        <v>0</v>
      </c>
      <c r="CN74" s="8">
        <v>0</v>
      </c>
      <c r="CO74" s="8">
        <v>0</v>
      </c>
      <c r="CP74" s="8">
        <v>0</v>
      </c>
      <c r="CQ74" s="8">
        <v>0</v>
      </c>
      <c r="CR74" s="8">
        <v>0</v>
      </c>
      <c r="CS74" s="8">
        <v>0</v>
      </c>
      <c r="CT74" s="7" t="e">
        <f>SUMPRODUCT(AssyMatrix[[#This Row],[Assy001]:[Assy075BP]],$C$1:$CS$1)</f>
        <v>#VALUE!</v>
      </c>
    </row>
    <row r="75" spans="1:98" x14ac:dyDescent="0.3">
      <c r="A75" s="7" t="s">
        <v>739</v>
      </c>
      <c r="B75" s="7" t="s">
        <v>50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2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2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2</v>
      </c>
      <c r="AU75" s="8">
        <v>0</v>
      </c>
      <c r="AV75" s="8">
        <v>0</v>
      </c>
      <c r="AW75" s="8">
        <v>1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1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8">
        <v>0</v>
      </c>
      <c r="CL75" s="8">
        <v>0</v>
      </c>
      <c r="CM75" s="8">
        <v>0</v>
      </c>
      <c r="CN75" s="8">
        <v>0</v>
      </c>
      <c r="CO75" s="8">
        <v>0</v>
      </c>
      <c r="CP75" s="8">
        <v>0</v>
      </c>
      <c r="CQ75" s="8">
        <v>0</v>
      </c>
      <c r="CR75" s="8">
        <v>0</v>
      </c>
      <c r="CS75" s="8">
        <v>0</v>
      </c>
      <c r="CT75" s="7" t="e">
        <f>SUMPRODUCT(AssyMatrix[[#This Row],[Assy001]:[Assy075BP]],$C$1:$CS$1)</f>
        <v>#VALUE!</v>
      </c>
    </row>
    <row r="76" spans="1:98" x14ac:dyDescent="0.3">
      <c r="A76" s="7" t="s">
        <v>740</v>
      </c>
      <c r="B76" s="7" t="s">
        <v>51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2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2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2</v>
      </c>
      <c r="AU76" s="8">
        <v>0</v>
      </c>
      <c r="AV76" s="8">
        <v>0</v>
      </c>
      <c r="AW76" s="8">
        <v>0</v>
      </c>
      <c r="AX76" s="8">
        <v>0</v>
      </c>
      <c r="AY76" s="8">
        <v>1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1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8">
        <v>0</v>
      </c>
      <c r="CF76" s="8">
        <v>0</v>
      </c>
      <c r="CG76" s="8">
        <v>0</v>
      </c>
      <c r="CH76" s="8">
        <v>0</v>
      </c>
      <c r="CI76" s="8">
        <v>0</v>
      </c>
      <c r="CJ76" s="8">
        <v>0</v>
      </c>
      <c r="CK76" s="8">
        <v>0</v>
      </c>
      <c r="CL76" s="8">
        <v>0</v>
      </c>
      <c r="CM76" s="8">
        <v>0</v>
      </c>
      <c r="CN76" s="8">
        <v>0</v>
      </c>
      <c r="CO76" s="8">
        <v>0</v>
      </c>
      <c r="CP76" s="8">
        <v>0</v>
      </c>
      <c r="CQ76" s="8">
        <v>0</v>
      </c>
      <c r="CR76" s="8">
        <v>0</v>
      </c>
      <c r="CS76" s="8">
        <v>0</v>
      </c>
      <c r="CT76" s="7" t="e">
        <f>SUMPRODUCT(AssyMatrix[[#This Row],[Assy001]:[Assy075BP]],$C$1:$CS$1)</f>
        <v>#VALUE!</v>
      </c>
    </row>
    <row r="77" spans="1:98" x14ac:dyDescent="0.3">
      <c r="A77" s="7" t="s">
        <v>741</v>
      </c>
      <c r="B77" s="7" t="s">
        <v>51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2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2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2</v>
      </c>
      <c r="AU77" s="8">
        <v>0</v>
      </c>
      <c r="AV77" s="8">
        <v>0</v>
      </c>
      <c r="AW77" s="8">
        <v>0</v>
      </c>
      <c r="AX77" s="8">
        <v>0</v>
      </c>
      <c r="AY77" s="8">
        <v>1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1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7" t="e">
        <f>SUMPRODUCT(AssyMatrix[[#This Row],[Assy001]:[Assy075BP]],$C$1:$CS$1)</f>
        <v>#VALUE!</v>
      </c>
    </row>
    <row r="78" spans="1:98" x14ac:dyDescent="0.3">
      <c r="A78" s="7" t="s">
        <v>742</v>
      </c>
      <c r="B78" s="7" t="s">
        <v>52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2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2</v>
      </c>
      <c r="AU78" s="8">
        <v>0</v>
      </c>
      <c r="AV78" s="8">
        <v>0</v>
      </c>
      <c r="AW78" s="8">
        <v>1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1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  <c r="CM78" s="8">
        <v>0</v>
      </c>
      <c r="CN78" s="8">
        <v>0</v>
      </c>
      <c r="CO78" s="8">
        <v>0</v>
      </c>
      <c r="CP78" s="8">
        <v>0</v>
      </c>
      <c r="CQ78" s="8">
        <v>0</v>
      </c>
      <c r="CR78" s="8">
        <v>0</v>
      </c>
      <c r="CS78" s="8">
        <v>0</v>
      </c>
      <c r="CT78" s="7" t="e">
        <f>SUMPRODUCT(AssyMatrix[[#This Row],[Assy001]:[Assy075BP]],$C$1:$CS$1)</f>
        <v>#VALUE!</v>
      </c>
    </row>
    <row r="79" spans="1:98" x14ac:dyDescent="0.3">
      <c r="A79" s="7" t="s">
        <v>743</v>
      </c>
      <c r="B79" s="7" t="s">
        <v>52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2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2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2</v>
      </c>
      <c r="AU79" s="8">
        <v>0</v>
      </c>
      <c r="AV79" s="8">
        <v>0</v>
      </c>
      <c r="AW79" s="8">
        <v>1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1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7" t="e">
        <f>SUMPRODUCT(AssyMatrix[[#This Row],[Assy001]:[Assy075BP]],$C$1:$CS$1)</f>
        <v>#VALUE!</v>
      </c>
    </row>
    <row r="80" spans="1:98" x14ac:dyDescent="0.3">
      <c r="A80" s="7" t="s">
        <v>744</v>
      </c>
      <c r="B80" s="7" t="s">
        <v>53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2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2</v>
      </c>
      <c r="AV80" s="8">
        <v>0</v>
      </c>
      <c r="AW80" s="8">
        <v>0</v>
      </c>
      <c r="AX80" s="8">
        <v>0</v>
      </c>
      <c r="AY80" s="8">
        <v>0</v>
      </c>
      <c r="AZ80" s="8">
        <v>1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1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  <c r="CM80" s="8">
        <v>0</v>
      </c>
      <c r="CN80" s="8">
        <v>0</v>
      </c>
      <c r="CO80" s="8">
        <v>0</v>
      </c>
      <c r="CP80" s="8">
        <v>0</v>
      </c>
      <c r="CQ80" s="8">
        <v>0</v>
      </c>
      <c r="CR80" s="8">
        <v>0</v>
      </c>
      <c r="CS80" s="8">
        <v>0</v>
      </c>
      <c r="CT80" s="7" t="e">
        <f>SUMPRODUCT(AssyMatrix[[#This Row],[Assy001]:[Assy075BP]],$C$1:$CS$1)</f>
        <v>#VALUE!</v>
      </c>
    </row>
    <row r="81" spans="1:98" x14ac:dyDescent="0.3">
      <c r="A81" s="7" t="s">
        <v>745</v>
      </c>
      <c r="B81" s="7" t="s">
        <v>53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2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2</v>
      </c>
      <c r="AV81" s="8">
        <v>0</v>
      </c>
      <c r="AW81" s="8">
        <v>0</v>
      </c>
      <c r="AX81" s="8">
        <v>0</v>
      </c>
      <c r="AY81" s="8">
        <v>0</v>
      </c>
      <c r="AZ81" s="8">
        <v>1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1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8">
        <v>0</v>
      </c>
      <c r="CL81" s="8">
        <v>0</v>
      </c>
      <c r="CM81" s="8">
        <v>0</v>
      </c>
      <c r="CN81" s="8">
        <v>0</v>
      </c>
      <c r="CO81" s="8">
        <v>0</v>
      </c>
      <c r="CP81" s="8">
        <v>0</v>
      </c>
      <c r="CQ81" s="8">
        <v>0</v>
      </c>
      <c r="CR81" s="8">
        <v>0</v>
      </c>
      <c r="CS81" s="8">
        <v>0</v>
      </c>
      <c r="CT81" s="7" t="e">
        <f>SUMPRODUCT(AssyMatrix[[#This Row],[Assy001]:[Assy075BP]],$C$1:$CS$1)</f>
        <v>#VALUE!</v>
      </c>
    </row>
    <row r="82" spans="1:98" x14ac:dyDescent="0.3">
      <c r="A82" s="7" t="s">
        <v>746</v>
      </c>
      <c r="B82" s="7" t="s">
        <v>269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2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2</v>
      </c>
      <c r="AV82" s="8">
        <v>0</v>
      </c>
      <c r="AW82" s="8">
        <v>0</v>
      </c>
      <c r="AX82" s="8">
        <v>0</v>
      </c>
      <c r="AY82" s="8">
        <v>0</v>
      </c>
      <c r="AZ82" s="8">
        <v>1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1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  <c r="CM82" s="8">
        <v>0</v>
      </c>
      <c r="CN82" s="8">
        <v>0</v>
      </c>
      <c r="CO82" s="8">
        <v>0</v>
      </c>
      <c r="CP82" s="8">
        <v>0</v>
      </c>
      <c r="CQ82" s="8">
        <v>0</v>
      </c>
      <c r="CR82" s="8">
        <v>0</v>
      </c>
      <c r="CS82" s="8">
        <v>0</v>
      </c>
      <c r="CT82" s="7" t="e">
        <f>SUMPRODUCT(AssyMatrix[[#This Row],[Assy001]:[Assy075BP]],$C$1:$CS$1)</f>
        <v>#VALUE!</v>
      </c>
    </row>
    <row r="83" spans="1:98" x14ac:dyDescent="0.3">
      <c r="A83" s="7" t="s">
        <v>747</v>
      </c>
      <c r="B83" s="7" t="s">
        <v>269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2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2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2</v>
      </c>
      <c r="AV83" s="8">
        <v>0</v>
      </c>
      <c r="AW83" s="8">
        <v>0</v>
      </c>
      <c r="AX83" s="8">
        <v>0</v>
      </c>
      <c r="AY83" s="8">
        <v>0</v>
      </c>
      <c r="AZ83" s="8">
        <v>1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1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7" t="e">
        <f>SUMPRODUCT(AssyMatrix[[#This Row],[Assy001]:[Assy075BP]],$C$1:$CS$1)</f>
        <v>#VALUE!</v>
      </c>
    </row>
    <row r="84" spans="1:98" x14ac:dyDescent="0.3">
      <c r="A84" s="7" t="s">
        <v>748</v>
      </c>
      <c r="B84" s="7" t="s">
        <v>54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2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2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2</v>
      </c>
      <c r="AV84" s="8">
        <v>0</v>
      </c>
      <c r="AW84" s="8">
        <v>1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1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7" t="e">
        <f>SUMPRODUCT(AssyMatrix[[#This Row],[Assy001]:[Assy075BP]],$C$1:$CS$1)</f>
        <v>#VALUE!</v>
      </c>
    </row>
    <row r="85" spans="1:98" x14ac:dyDescent="0.3">
      <c r="A85" s="7" t="s">
        <v>749</v>
      </c>
      <c r="B85" s="7" t="s">
        <v>54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2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2</v>
      </c>
      <c r="AV85" s="8">
        <v>0</v>
      </c>
      <c r="AW85" s="8">
        <v>1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1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7" t="e">
        <f>SUMPRODUCT(AssyMatrix[[#This Row],[Assy001]:[Assy075BP]],$C$1:$CS$1)</f>
        <v>#VALUE!</v>
      </c>
    </row>
    <row r="86" spans="1:98" x14ac:dyDescent="0.3">
      <c r="A86" s="7" t="s">
        <v>750</v>
      </c>
      <c r="B86" s="7" t="s">
        <v>268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2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2</v>
      </c>
      <c r="AV86" s="8">
        <v>0</v>
      </c>
      <c r="AW86" s="8">
        <v>1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1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8">
        <v>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  <c r="CM86" s="8">
        <v>0</v>
      </c>
      <c r="CN86" s="8">
        <v>0</v>
      </c>
      <c r="CO86" s="8">
        <v>0</v>
      </c>
      <c r="CP86" s="8">
        <v>0</v>
      </c>
      <c r="CQ86" s="8">
        <v>0</v>
      </c>
      <c r="CR86" s="8">
        <v>0</v>
      </c>
      <c r="CS86" s="8">
        <v>0</v>
      </c>
      <c r="CT86" s="7" t="e">
        <f>SUMPRODUCT(AssyMatrix[[#This Row],[Assy001]:[Assy075BP]],$C$1:$CS$1)</f>
        <v>#VALUE!</v>
      </c>
    </row>
    <row r="87" spans="1:98" x14ac:dyDescent="0.3">
      <c r="A87" s="7" t="s">
        <v>751</v>
      </c>
      <c r="B87" s="7" t="s">
        <v>268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2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2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2</v>
      </c>
      <c r="AV87" s="8">
        <v>0</v>
      </c>
      <c r="AW87" s="8">
        <v>1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1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  <c r="CM87" s="8">
        <v>0</v>
      </c>
      <c r="CN87" s="8">
        <v>0</v>
      </c>
      <c r="CO87" s="8">
        <v>0</v>
      </c>
      <c r="CP87" s="8">
        <v>0</v>
      </c>
      <c r="CQ87" s="8">
        <v>0</v>
      </c>
      <c r="CR87" s="8">
        <v>0</v>
      </c>
      <c r="CS87" s="8">
        <v>0</v>
      </c>
      <c r="CT87" s="7" t="e">
        <f>SUMPRODUCT(AssyMatrix[[#This Row],[Assy001]:[Assy075BP]],$C$1:$CS$1)</f>
        <v>#VALUE!</v>
      </c>
    </row>
    <row r="88" spans="1:98" x14ac:dyDescent="0.3">
      <c r="A88" s="7">
        <v>6552</v>
      </c>
      <c r="B88" s="7" t="s">
        <v>56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1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1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1</v>
      </c>
      <c r="AS88" s="8">
        <v>0</v>
      </c>
      <c r="AT88" s="8">
        <v>1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8">
        <v>0</v>
      </c>
      <c r="CL88" s="8">
        <v>0</v>
      </c>
      <c r="CM88" s="8">
        <v>0</v>
      </c>
      <c r="CN88" s="8">
        <v>0</v>
      </c>
      <c r="CO88" s="8">
        <v>0</v>
      </c>
      <c r="CP88" s="8">
        <v>0</v>
      </c>
      <c r="CQ88" s="8">
        <v>0</v>
      </c>
      <c r="CR88" s="8">
        <v>0</v>
      </c>
      <c r="CS88" s="8">
        <v>0</v>
      </c>
      <c r="CT88" s="7" t="e">
        <f>SUMPRODUCT(AssyMatrix[[#This Row],[Assy001]:[Assy075BP]],$C$1:$CS$1)</f>
        <v>#VALUE!</v>
      </c>
    </row>
    <row r="89" spans="1:98" x14ac:dyDescent="0.3">
      <c r="A89" s="7">
        <v>6553</v>
      </c>
      <c r="B89" s="7" t="s">
        <v>57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1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1</v>
      </c>
      <c r="AR89" s="8">
        <v>0</v>
      </c>
      <c r="AS89" s="8">
        <v>0</v>
      </c>
      <c r="AT89" s="8">
        <v>1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0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7" t="e">
        <f>SUMPRODUCT(AssyMatrix[[#This Row],[Assy001]:[Assy075BP]],$C$1:$CS$1)</f>
        <v>#VALUE!</v>
      </c>
    </row>
    <row r="90" spans="1:98" x14ac:dyDescent="0.3">
      <c r="A90" s="7">
        <v>6554</v>
      </c>
      <c r="B90" s="7" t="s">
        <v>58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1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1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1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1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8">
        <v>0</v>
      </c>
      <c r="CL90" s="8">
        <v>0</v>
      </c>
      <c r="CM90" s="8">
        <v>0</v>
      </c>
      <c r="CN90" s="8">
        <v>0</v>
      </c>
      <c r="CO90" s="8">
        <v>0</v>
      </c>
      <c r="CP90" s="8">
        <v>0</v>
      </c>
      <c r="CQ90" s="8">
        <v>0</v>
      </c>
      <c r="CR90" s="8">
        <v>0</v>
      </c>
      <c r="CS90" s="8">
        <v>0</v>
      </c>
      <c r="CT90" s="7" t="e">
        <f>SUMPRODUCT(AssyMatrix[[#This Row],[Assy001]:[Assy075BP]],$C$1:$CS$1)</f>
        <v>#VALUE!</v>
      </c>
    </row>
    <row r="91" spans="1:98" x14ac:dyDescent="0.3">
      <c r="A91" s="7">
        <v>6555</v>
      </c>
      <c r="B91" s="7" t="s">
        <v>59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1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1</v>
      </c>
      <c r="AR91" s="8">
        <v>0</v>
      </c>
      <c r="AS91" s="8">
        <v>0</v>
      </c>
      <c r="AT91" s="8">
        <v>0</v>
      </c>
      <c r="AU91" s="8">
        <v>1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7" t="e">
        <f>SUMPRODUCT(AssyMatrix[[#This Row],[Assy001]:[Assy075BP]],$C$1:$CS$1)</f>
        <v>#VALUE!</v>
      </c>
    </row>
    <row r="92" spans="1:98" x14ac:dyDescent="0.3">
      <c r="A92" s="7" t="s">
        <v>706</v>
      </c>
      <c r="B92" s="7" t="s">
        <v>60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1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1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1</v>
      </c>
      <c r="AS92" s="8">
        <v>0</v>
      </c>
      <c r="AT92" s="8">
        <v>1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8">
        <v>0</v>
      </c>
      <c r="BN92" s="8">
        <v>0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8">
        <v>0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  <c r="CM92" s="8">
        <v>0</v>
      </c>
      <c r="CN92" s="8">
        <v>0</v>
      </c>
      <c r="CO92" s="8">
        <v>0</v>
      </c>
      <c r="CP92" s="8">
        <v>0</v>
      </c>
      <c r="CQ92" s="8">
        <v>0</v>
      </c>
      <c r="CR92" s="8">
        <v>0</v>
      </c>
      <c r="CS92" s="8">
        <v>0</v>
      </c>
      <c r="CT92" s="7" t="e">
        <f>SUMPRODUCT(AssyMatrix[[#This Row],[Assy001]:[Assy075BP]],$C$1:$CS$1)</f>
        <v>#VALUE!</v>
      </c>
    </row>
    <row r="93" spans="1:98" x14ac:dyDescent="0.3">
      <c r="A93" s="7" t="s">
        <v>707</v>
      </c>
      <c r="B93" s="7" t="s">
        <v>61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1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1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1</v>
      </c>
      <c r="AR93" s="8">
        <v>0</v>
      </c>
      <c r="AS93" s="8">
        <v>0</v>
      </c>
      <c r="AT93" s="8">
        <v>1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M93" s="8">
        <v>0</v>
      </c>
      <c r="CN93" s="8">
        <v>0</v>
      </c>
      <c r="CO93" s="8">
        <v>0</v>
      </c>
      <c r="CP93" s="8">
        <v>0</v>
      </c>
      <c r="CQ93" s="8">
        <v>0</v>
      </c>
      <c r="CR93" s="8">
        <v>0</v>
      </c>
      <c r="CS93" s="8">
        <v>0</v>
      </c>
      <c r="CT93" s="7" t="e">
        <f>SUMPRODUCT(AssyMatrix[[#This Row],[Assy001]:[Assy075BP]],$C$1:$CS$1)</f>
        <v>#VALUE!</v>
      </c>
    </row>
    <row r="94" spans="1:98" x14ac:dyDescent="0.3">
      <c r="A94" s="7" t="s">
        <v>708</v>
      </c>
      <c r="B94" s="7" t="s">
        <v>62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1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1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1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1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8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8">
        <v>0</v>
      </c>
      <c r="CN94" s="8">
        <v>0</v>
      </c>
      <c r="CO94" s="8">
        <v>0</v>
      </c>
      <c r="CP94" s="8">
        <v>0</v>
      </c>
      <c r="CQ94" s="8">
        <v>0</v>
      </c>
      <c r="CR94" s="8">
        <v>0</v>
      </c>
      <c r="CS94" s="8">
        <v>0</v>
      </c>
      <c r="CT94" s="7" t="e">
        <f>SUMPRODUCT(AssyMatrix[[#This Row],[Assy001]:[Assy075BP]],$C$1:$CS$1)</f>
        <v>#VALUE!</v>
      </c>
    </row>
    <row r="95" spans="1:98" x14ac:dyDescent="0.3">
      <c r="A95" s="7" t="s">
        <v>709</v>
      </c>
      <c r="B95" s="7" t="s">
        <v>63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1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1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1</v>
      </c>
      <c r="AR95" s="8">
        <v>0</v>
      </c>
      <c r="AS95" s="8">
        <v>0</v>
      </c>
      <c r="AT95" s="8">
        <v>0</v>
      </c>
      <c r="AU95" s="8">
        <v>1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8">
        <v>0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8">
        <v>0</v>
      </c>
      <c r="CF95" s="8">
        <v>0</v>
      </c>
      <c r="CG95" s="8">
        <v>0</v>
      </c>
      <c r="CH95" s="8">
        <v>0</v>
      </c>
      <c r="CI95" s="8">
        <v>0</v>
      </c>
      <c r="CJ95" s="8">
        <v>0</v>
      </c>
      <c r="CK95" s="8">
        <v>0</v>
      </c>
      <c r="CL95" s="8">
        <v>0</v>
      </c>
      <c r="CM95" s="8">
        <v>0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0</v>
      </c>
      <c r="CT95" s="7" t="e">
        <f>SUMPRODUCT(AssyMatrix[[#This Row],[Assy001]:[Assy075BP]],$C$1:$CS$1)</f>
        <v>#VALUE!</v>
      </c>
    </row>
    <row r="96" spans="1:98" x14ac:dyDescent="0.3">
      <c r="A96" s="7" t="s">
        <v>471</v>
      </c>
      <c r="B96" s="7" t="s">
        <v>64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1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1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1</v>
      </c>
      <c r="AS96" s="8">
        <v>0</v>
      </c>
      <c r="AT96" s="8">
        <v>1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1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8">
        <v>0</v>
      </c>
      <c r="CF96" s="8">
        <v>0</v>
      </c>
      <c r="CG96" s="8">
        <v>0</v>
      </c>
      <c r="CH96" s="8">
        <v>0</v>
      </c>
      <c r="CI96" s="8">
        <v>0</v>
      </c>
      <c r="CJ96" s="8">
        <v>0</v>
      </c>
      <c r="CK96" s="8">
        <v>0</v>
      </c>
      <c r="CL96" s="8">
        <v>0</v>
      </c>
      <c r="CM96" s="8">
        <v>0</v>
      </c>
      <c r="CN96" s="8">
        <v>0</v>
      </c>
      <c r="CO96" s="8">
        <v>0</v>
      </c>
      <c r="CP96" s="8">
        <v>0</v>
      </c>
      <c r="CQ96" s="8">
        <v>0</v>
      </c>
      <c r="CR96" s="8">
        <v>0</v>
      </c>
      <c r="CS96" s="8">
        <v>0</v>
      </c>
      <c r="CT96" s="7" t="e">
        <f>SUMPRODUCT(AssyMatrix[[#This Row],[Assy001]:[Assy075BP]],$C$1:$CS$1)</f>
        <v>#VALUE!</v>
      </c>
    </row>
    <row r="97" spans="1:98" x14ac:dyDescent="0.3">
      <c r="A97" s="7" t="s">
        <v>475</v>
      </c>
      <c r="B97" s="7" t="s">
        <v>64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1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1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1</v>
      </c>
      <c r="AS97" s="8">
        <v>0</v>
      </c>
      <c r="AT97" s="8">
        <v>1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1</v>
      </c>
      <c r="BJ97" s="8">
        <v>0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8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0</v>
      </c>
      <c r="CS97" s="8">
        <v>0</v>
      </c>
      <c r="CT97" s="7" t="e">
        <f>SUMPRODUCT(AssyMatrix[[#This Row],[Assy001]:[Assy075BP]],$C$1:$CS$1)</f>
        <v>#VALUE!</v>
      </c>
    </row>
    <row r="98" spans="1:98" x14ac:dyDescent="0.3">
      <c r="A98" s="7" t="s">
        <v>481</v>
      </c>
      <c r="B98" s="7" t="s">
        <v>65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1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1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</v>
      </c>
      <c r="AS98" s="8">
        <v>0</v>
      </c>
      <c r="AT98" s="8">
        <v>1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1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8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  <c r="CM98" s="8">
        <v>0</v>
      </c>
      <c r="CN98" s="8">
        <v>0</v>
      </c>
      <c r="CO98" s="8">
        <v>0</v>
      </c>
      <c r="CP98" s="8">
        <v>0</v>
      </c>
      <c r="CQ98" s="8">
        <v>0</v>
      </c>
      <c r="CR98" s="8">
        <v>0</v>
      </c>
      <c r="CS98" s="8">
        <v>0</v>
      </c>
      <c r="CT98" s="7" t="e">
        <f>SUMPRODUCT(AssyMatrix[[#This Row],[Assy001]:[Assy075BP]],$C$1:$CS$1)</f>
        <v>#VALUE!</v>
      </c>
    </row>
    <row r="99" spans="1:98" x14ac:dyDescent="0.3">
      <c r="A99" s="7" t="s">
        <v>489</v>
      </c>
      <c r="B99" s="7" t="s">
        <v>65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1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1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1</v>
      </c>
      <c r="AS99" s="8">
        <v>0</v>
      </c>
      <c r="AT99" s="8">
        <v>1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1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>
        <v>0</v>
      </c>
      <c r="CO99" s="8">
        <v>0</v>
      </c>
      <c r="CP99" s="8">
        <v>0</v>
      </c>
      <c r="CQ99" s="8">
        <v>0</v>
      </c>
      <c r="CR99" s="8">
        <v>0</v>
      </c>
      <c r="CS99" s="8">
        <v>0</v>
      </c>
      <c r="CT99" s="7" t="e">
        <f>SUMPRODUCT(AssyMatrix[[#This Row],[Assy001]:[Assy075BP]],$C$1:$CS$1)</f>
        <v>#VALUE!</v>
      </c>
    </row>
    <row r="100" spans="1:98" x14ac:dyDescent="0.3">
      <c r="A100" s="7" t="s">
        <v>472</v>
      </c>
      <c r="B100" s="7" t="s">
        <v>66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1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1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1</v>
      </c>
      <c r="AR100" s="8">
        <v>0</v>
      </c>
      <c r="AS100" s="8">
        <v>0</v>
      </c>
      <c r="AT100" s="8">
        <v>1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1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8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8">
        <v>0</v>
      </c>
      <c r="CL100" s="8">
        <v>0</v>
      </c>
      <c r="CM100" s="8">
        <v>0</v>
      </c>
      <c r="CN100" s="8">
        <v>0</v>
      </c>
      <c r="CO100" s="8">
        <v>0</v>
      </c>
      <c r="CP100" s="8">
        <v>0</v>
      </c>
      <c r="CQ100" s="8">
        <v>0</v>
      </c>
      <c r="CR100" s="8">
        <v>0</v>
      </c>
      <c r="CS100" s="8">
        <v>0</v>
      </c>
      <c r="CT100" s="7" t="e">
        <f>SUMPRODUCT(AssyMatrix[[#This Row],[Assy001]:[Assy075BP]],$C$1:$CS$1)</f>
        <v>#VALUE!</v>
      </c>
    </row>
    <row r="101" spans="1:98" x14ac:dyDescent="0.3">
      <c r="A101" s="7" t="s">
        <v>476</v>
      </c>
      <c r="B101" s="7" t="s">
        <v>66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1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1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1</v>
      </c>
      <c r="AR101" s="8">
        <v>0</v>
      </c>
      <c r="AS101" s="8">
        <v>0</v>
      </c>
      <c r="AT101" s="8">
        <v>1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1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8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7" t="e">
        <f>SUMPRODUCT(AssyMatrix[[#This Row],[Assy001]:[Assy075BP]],$C$1:$CS$1)</f>
        <v>#VALUE!</v>
      </c>
    </row>
    <row r="102" spans="1:98" x14ac:dyDescent="0.3">
      <c r="A102" s="7" t="s">
        <v>482</v>
      </c>
      <c r="B102" s="7" t="s">
        <v>67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1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1</v>
      </c>
      <c r="AR102" s="8">
        <v>0</v>
      </c>
      <c r="AS102" s="8">
        <v>0</v>
      </c>
      <c r="AT102" s="8">
        <v>1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1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8">
        <v>0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8">
        <v>0</v>
      </c>
      <c r="CL102" s="8">
        <v>0</v>
      </c>
      <c r="CM102" s="8">
        <v>0</v>
      </c>
      <c r="CN102" s="8">
        <v>0</v>
      </c>
      <c r="CO102" s="8">
        <v>0</v>
      </c>
      <c r="CP102" s="8">
        <v>0</v>
      </c>
      <c r="CQ102" s="8">
        <v>0</v>
      </c>
      <c r="CR102" s="8">
        <v>0</v>
      </c>
      <c r="CS102" s="8">
        <v>0</v>
      </c>
      <c r="CT102" s="7" t="e">
        <f>SUMPRODUCT(AssyMatrix[[#This Row],[Assy001]:[Assy075BP]],$C$1:$CS$1)</f>
        <v>#VALUE!</v>
      </c>
    </row>
    <row r="103" spans="1:98" x14ac:dyDescent="0.3">
      <c r="A103" s="7" t="s">
        <v>490</v>
      </c>
      <c r="B103" s="7" t="s">
        <v>67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1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1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1</v>
      </c>
      <c r="AR103" s="8">
        <v>0</v>
      </c>
      <c r="AS103" s="8">
        <v>0</v>
      </c>
      <c r="AT103" s="8">
        <v>1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1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8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8">
        <v>0</v>
      </c>
      <c r="CL103" s="8">
        <v>0</v>
      </c>
      <c r="CM103" s="8">
        <v>0</v>
      </c>
      <c r="CN103" s="8">
        <v>0</v>
      </c>
      <c r="CO103" s="8">
        <v>0</v>
      </c>
      <c r="CP103" s="8">
        <v>0</v>
      </c>
      <c r="CQ103" s="8">
        <v>0</v>
      </c>
      <c r="CR103" s="8">
        <v>0</v>
      </c>
      <c r="CS103" s="8">
        <v>0</v>
      </c>
      <c r="CT103" s="7" t="e">
        <f>SUMPRODUCT(AssyMatrix[[#This Row],[Assy001]:[Assy075BP]],$C$1:$CS$1)</f>
        <v>#VALUE!</v>
      </c>
    </row>
    <row r="104" spans="1:98" x14ac:dyDescent="0.3">
      <c r="A104" s="7" t="s">
        <v>483</v>
      </c>
      <c r="B104" s="7" t="s">
        <v>69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1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1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1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1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1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8">
        <v>0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8">
        <v>0</v>
      </c>
      <c r="CL104" s="8">
        <v>0</v>
      </c>
      <c r="CM104" s="8">
        <v>0</v>
      </c>
      <c r="CN104" s="8">
        <v>0</v>
      </c>
      <c r="CO104" s="8">
        <v>0</v>
      </c>
      <c r="CP104" s="8">
        <v>0</v>
      </c>
      <c r="CQ104" s="8">
        <v>0</v>
      </c>
      <c r="CR104" s="8">
        <v>0</v>
      </c>
      <c r="CS104" s="8">
        <v>0</v>
      </c>
      <c r="CT104" s="7" t="e">
        <f>SUMPRODUCT(AssyMatrix[[#This Row],[Assy001]:[Assy075BP]],$C$1:$CS$1)</f>
        <v>#VALUE!</v>
      </c>
    </row>
    <row r="105" spans="1:98" x14ac:dyDescent="0.3">
      <c r="A105" s="7" t="s">
        <v>491</v>
      </c>
      <c r="B105" s="7" t="s">
        <v>69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1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1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1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8">
        <v>1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1</v>
      </c>
      <c r="BL105" s="8">
        <v>0</v>
      </c>
      <c r="BM105" s="8">
        <v>0</v>
      </c>
      <c r="BN105" s="8">
        <v>0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8">
        <v>0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8">
        <v>0</v>
      </c>
      <c r="CL105" s="8">
        <v>0</v>
      </c>
      <c r="CM105" s="8">
        <v>0</v>
      </c>
      <c r="CN105" s="8">
        <v>0</v>
      </c>
      <c r="CO105" s="8">
        <v>0</v>
      </c>
      <c r="CP105" s="8">
        <v>0</v>
      </c>
      <c r="CQ105" s="8">
        <v>0</v>
      </c>
      <c r="CR105" s="8">
        <v>0</v>
      </c>
      <c r="CS105" s="8">
        <v>0</v>
      </c>
      <c r="CT105" s="7" t="e">
        <f>SUMPRODUCT(AssyMatrix[[#This Row],[Assy001]:[Assy075BP]],$C$1:$CS$1)</f>
        <v>#VALUE!</v>
      </c>
    </row>
    <row r="106" spans="1:98" x14ac:dyDescent="0.3">
      <c r="A106" s="7" t="s">
        <v>495</v>
      </c>
      <c r="B106" s="7" t="s">
        <v>266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1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1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1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1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0</v>
      </c>
      <c r="BN106" s="8">
        <v>1</v>
      </c>
      <c r="BO106" s="8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8">
        <v>0</v>
      </c>
      <c r="CL106" s="8">
        <v>0</v>
      </c>
      <c r="CM106" s="8">
        <v>0</v>
      </c>
      <c r="CN106" s="8">
        <v>0</v>
      </c>
      <c r="CO106" s="8">
        <v>0</v>
      </c>
      <c r="CP106" s="8">
        <v>0</v>
      </c>
      <c r="CQ106" s="8">
        <v>0</v>
      </c>
      <c r="CR106" s="8">
        <v>0</v>
      </c>
      <c r="CS106" s="8">
        <v>0</v>
      </c>
      <c r="CT106" s="7" t="e">
        <f>SUMPRODUCT(AssyMatrix[[#This Row],[Assy001]:[Assy075BP]],$C$1:$CS$1)</f>
        <v>#VALUE!</v>
      </c>
    </row>
    <row r="107" spans="1:98" x14ac:dyDescent="0.3">
      <c r="A107" s="7" t="s">
        <v>499</v>
      </c>
      <c r="B107" s="7" t="s">
        <v>266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1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1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1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1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1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0</v>
      </c>
      <c r="CB107" s="8">
        <v>0</v>
      </c>
      <c r="CC107" s="8">
        <v>0</v>
      </c>
      <c r="CD107" s="8">
        <v>0</v>
      </c>
      <c r="CE107" s="8">
        <v>0</v>
      </c>
      <c r="CF107" s="8">
        <v>0</v>
      </c>
      <c r="CG107" s="8">
        <v>0</v>
      </c>
      <c r="CH107" s="8">
        <v>0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>
        <v>0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7" t="e">
        <f>SUMPRODUCT(AssyMatrix[[#This Row],[Assy001]:[Assy075BP]],$C$1:$CS$1)</f>
        <v>#VALUE!</v>
      </c>
    </row>
    <row r="108" spans="1:98" x14ac:dyDescent="0.3">
      <c r="A108" s="7" t="s">
        <v>484</v>
      </c>
      <c r="B108" s="7" t="s">
        <v>68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1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1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1</v>
      </c>
      <c r="AR108" s="8">
        <v>0</v>
      </c>
      <c r="AS108" s="8">
        <v>0</v>
      </c>
      <c r="AT108" s="8">
        <v>0</v>
      </c>
      <c r="AU108" s="8">
        <v>1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1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0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8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8">
        <v>0</v>
      </c>
      <c r="CL108" s="8">
        <v>0</v>
      </c>
      <c r="CM108" s="8">
        <v>0</v>
      </c>
      <c r="CN108" s="8">
        <v>0</v>
      </c>
      <c r="CO108" s="8">
        <v>0</v>
      </c>
      <c r="CP108" s="8">
        <v>0</v>
      </c>
      <c r="CQ108" s="8">
        <v>0</v>
      </c>
      <c r="CR108" s="8">
        <v>0</v>
      </c>
      <c r="CS108" s="8">
        <v>0</v>
      </c>
      <c r="CT108" s="7" t="e">
        <f>SUMPRODUCT(AssyMatrix[[#This Row],[Assy001]:[Assy075BP]],$C$1:$CS$1)</f>
        <v>#VALUE!</v>
      </c>
    </row>
    <row r="109" spans="1:98" x14ac:dyDescent="0.3">
      <c r="A109" s="7" t="s">
        <v>492</v>
      </c>
      <c r="B109" s="7" t="s">
        <v>68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1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1</v>
      </c>
      <c r="AR109" s="8">
        <v>0</v>
      </c>
      <c r="AS109" s="8">
        <v>0</v>
      </c>
      <c r="AT109" s="8">
        <v>0</v>
      </c>
      <c r="AU109" s="8">
        <v>1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1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8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8">
        <v>0</v>
      </c>
      <c r="CL109" s="8">
        <v>0</v>
      </c>
      <c r="CM109" s="8">
        <v>0</v>
      </c>
      <c r="CN109" s="8">
        <v>0</v>
      </c>
      <c r="CO109" s="8">
        <v>0</v>
      </c>
      <c r="CP109" s="8">
        <v>0</v>
      </c>
      <c r="CQ109" s="8">
        <v>0</v>
      </c>
      <c r="CR109" s="8">
        <v>0</v>
      </c>
      <c r="CS109" s="8">
        <v>0</v>
      </c>
      <c r="CT109" s="7" t="e">
        <f>SUMPRODUCT(AssyMatrix[[#This Row],[Assy001]:[Assy075BP]],$C$1:$CS$1)</f>
        <v>#VALUE!</v>
      </c>
    </row>
    <row r="110" spans="1:98" x14ac:dyDescent="0.3">
      <c r="A110" s="7" t="s">
        <v>496</v>
      </c>
      <c r="B110" s="7" t="s">
        <v>267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1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1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1</v>
      </c>
      <c r="AR110" s="8">
        <v>0</v>
      </c>
      <c r="AS110" s="8">
        <v>0</v>
      </c>
      <c r="AT110" s="8">
        <v>0</v>
      </c>
      <c r="AU110" s="8">
        <v>1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1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8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8">
        <v>0</v>
      </c>
      <c r="CL110" s="8">
        <v>0</v>
      </c>
      <c r="CM110" s="8">
        <v>0</v>
      </c>
      <c r="CN110" s="8">
        <v>0</v>
      </c>
      <c r="CO110" s="8">
        <v>0</v>
      </c>
      <c r="CP110" s="8">
        <v>0</v>
      </c>
      <c r="CQ110" s="8">
        <v>0</v>
      </c>
      <c r="CR110" s="8">
        <v>0</v>
      </c>
      <c r="CS110" s="8">
        <v>0</v>
      </c>
      <c r="CT110" s="7" t="e">
        <f>SUMPRODUCT(AssyMatrix[[#This Row],[Assy001]:[Assy075BP]],$C$1:$CS$1)</f>
        <v>#VALUE!</v>
      </c>
    </row>
    <row r="111" spans="1:98" x14ac:dyDescent="0.3">
      <c r="A111" s="7" t="s">
        <v>500</v>
      </c>
      <c r="B111" s="7" t="s">
        <v>267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1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1</v>
      </c>
      <c r="AR111" s="8">
        <v>0</v>
      </c>
      <c r="AS111" s="8">
        <v>0</v>
      </c>
      <c r="AT111" s="8">
        <v>0</v>
      </c>
      <c r="AU111" s="8">
        <v>1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1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8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8">
        <v>0</v>
      </c>
      <c r="CL111" s="8">
        <v>0</v>
      </c>
      <c r="CM111" s="8">
        <v>0</v>
      </c>
      <c r="CN111" s="8">
        <v>0</v>
      </c>
      <c r="CO111" s="8">
        <v>0</v>
      </c>
      <c r="CP111" s="8">
        <v>0</v>
      </c>
      <c r="CQ111" s="8">
        <v>0</v>
      </c>
      <c r="CR111" s="8">
        <v>0</v>
      </c>
      <c r="CS111" s="8">
        <v>0</v>
      </c>
      <c r="CT111" s="7" t="e">
        <f>SUMPRODUCT(AssyMatrix[[#This Row],[Assy001]:[Assy075BP]],$C$1:$CS$1)</f>
        <v>#VALUE!</v>
      </c>
    </row>
    <row r="112" spans="1:98" x14ac:dyDescent="0.3">
      <c r="A112" s="7" t="s">
        <v>752</v>
      </c>
      <c r="B112" s="7" t="s">
        <v>70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1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1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1</v>
      </c>
      <c r="AS112" s="8">
        <v>0</v>
      </c>
      <c r="AT112" s="8">
        <v>1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1</v>
      </c>
      <c r="BI112" s="8">
        <v>0</v>
      </c>
      <c r="BJ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8">
        <v>0</v>
      </c>
      <c r="CF112" s="8">
        <v>0</v>
      </c>
      <c r="CG112" s="8">
        <v>0</v>
      </c>
      <c r="CH112" s="8">
        <v>0</v>
      </c>
      <c r="CI112" s="8">
        <v>0</v>
      </c>
      <c r="CJ112" s="8">
        <v>0</v>
      </c>
      <c r="CK112" s="8">
        <v>0</v>
      </c>
      <c r="CL112" s="8">
        <v>0</v>
      </c>
      <c r="CM112" s="8">
        <v>0</v>
      </c>
      <c r="CN112" s="8">
        <v>0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7" t="e">
        <f>SUMPRODUCT(AssyMatrix[[#This Row],[Assy001]:[Assy075BP]],$C$1:$CS$1)</f>
        <v>#VALUE!</v>
      </c>
    </row>
    <row r="113" spans="1:98" x14ac:dyDescent="0.3">
      <c r="A113" s="7" t="s">
        <v>753</v>
      </c>
      <c r="B113" s="7" t="s">
        <v>70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1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1</v>
      </c>
      <c r="AS113" s="8">
        <v>0</v>
      </c>
      <c r="AT113" s="8">
        <v>1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1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8">
        <v>0</v>
      </c>
      <c r="CL113" s="8">
        <v>0</v>
      </c>
      <c r="CM113" s="8">
        <v>0</v>
      </c>
      <c r="CN113" s="8">
        <v>0</v>
      </c>
      <c r="CO113" s="8">
        <v>0</v>
      </c>
      <c r="CP113" s="8">
        <v>0</v>
      </c>
      <c r="CQ113" s="8">
        <v>0</v>
      </c>
      <c r="CR113" s="8">
        <v>0</v>
      </c>
      <c r="CS113" s="8">
        <v>0</v>
      </c>
      <c r="CT113" s="7" t="e">
        <f>SUMPRODUCT(AssyMatrix[[#This Row],[Assy001]:[Assy075BP]],$C$1:$CS$1)</f>
        <v>#VALUE!</v>
      </c>
    </row>
    <row r="114" spans="1:98" x14ac:dyDescent="0.3">
      <c r="A114" s="7" t="s">
        <v>754</v>
      </c>
      <c r="B114" s="7" t="s">
        <v>71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1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1</v>
      </c>
      <c r="AS114" s="8">
        <v>0</v>
      </c>
      <c r="AT114" s="8">
        <v>1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1</v>
      </c>
      <c r="BK114" s="8">
        <v>0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8">
        <v>0</v>
      </c>
      <c r="CF114" s="8">
        <v>0</v>
      </c>
      <c r="CG114" s="8">
        <v>0</v>
      </c>
      <c r="CH114" s="8">
        <v>0</v>
      </c>
      <c r="CI114" s="8">
        <v>0</v>
      </c>
      <c r="CJ114" s="8">
        <v>0</v>
      </c>
      <c r="CK114" s="8">
        <v>0</v>
      </c>
      <c r="CL114" s="8">
        <v>0</v>
      </c>
      <c r="CM114" s="8">
        <v>0</v>
      </c>
      <c r="CN114" s="8">
        <v>0</v>
      </c>
      <c r="CO114" s="8">
        <v>0</v>
      </c>
      <c r="CP114" s="8">
        <v>0</v>
      </c>
      <c r="CQ114" s="8">
        <v>0</v>
      </c>
      <c r="CR114" s="8">
        <v>0</v>
      </c>
      <c r="CS114" s="8">
        <v>0</v>
      </c>
      <c r="CT114" s="7" t="e">
        <f>SUMPRODUCT(AssyMatrix[[#This Row],[Assy001]:[Assy075BP]],$C$1:$CS$1)</f>
        <v>#VALUE!</v>
      </c>
    </row>
    <row r="115" spans="1:98" x14ac:dyDescent="0.3">
      <c r="A115" s="7" t="s">
        <v>755</v>
      </c>
      <c r="B115" s="7" t="s">
        <v>71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1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1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1</v>
      </c>
      <c r="AS115" s="8">
        <v>0</v>
      </c>
      <c r="AT115" s="8">
        <v>1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1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8">
        <v>0</v>
      </c>
      <c r="CL115" s="8">
        <v>0</v>
      </c>
      <c r="CM115" s="8">
        <v>0</v>
      </c>
      <c r="CN115" s="8">
        <v>0</v>
      </c>
      <c r="CO115" s="8">
        <v>0</v>
      </c>
      <c r="CP115" s="8">
        <v>0</v>
      </c>
      <c r="CQ115" s="8">
        <v>0</v>
      </c>
      <c r="CR115" s="8">
        <v>0</v>
      </c>
      <c r="CS115" s="8">
        <v>0</v>
      </c>
      <c r="CT115" s="7" t="e">
        <f>SUMPRODUCT(AssyMatrix[[#This Row],[Assy001]:[Assy075BP]],$C$1:$CS$1)</f>
        <v>#VALUE!</v>
      </c>
    </row>
    <row r="116" spans="1:98" x14ac:dyDescent="0.3">
      <c r="A116" s="7" t="s">
        <v>756</v>
      </c>
      <c r="B116" s="7" t="s">
        <v>72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1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1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1</v>
      </c>
      <c r="AR116" s="8">
        <v>0</v>
      </c>
      <c r="AS116" s="8">
        <v>0</v>
      </c>
      <c r="AT116" s="8">
        <v>1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1</v>
      </c>
      <c r="BI116" s="8">
        <v>0</v>
      </c>
      <c r="BJ116" s="8">
        <v>0</v>
      </c>
      <c r="BK116" s="8">
        <v>0</v>
      </c>
      <c r="BL116" s="8">
        <v>0</v>
      </c>
      <c r="BM116" s="8">
        <v>0</v>
      </c>
      <c r="BN116" s="8">
        <v>0</v>
      </c>
      <c r="BO116" s="8">
        <v>0</v>
      </c>
      <c r="BP116" s="8">
        <v>0</v>
      </c>
      <c r="BQ116" s="8">
        <v>0</v>
      </c>
      <c r="BR116" s="8">
        <v>0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8">
        <v>0</v>
      </c>
      <c r="CN116" s="8">
        <v>0</v>
      </c>
      <c r="CO116" s="8">
        <v>0</v>
      </c>
      <c r="CP116" s="8">
        <v>0</v>
      </c>
      <c r="CQ116" s="8">
        <v>0</v>
      </c>
      <c r="CR116" s="8">
        <v>0</v>
      </c>
      <c r="CS116" s="8">
        <v>0</v>
      </c>
      <c r="CT116" s="7" t="e">
        <f>SUMPRODUCT(AssyMatrix[[#This Row],[Assy001]:[Assy075BP]],$C$1:$CS$1)</f>
        <v>#VALUE!</v>
      </c>
    </row>
    <row r="117" spans="1:98" x14ac:dyDescent="0.3">
      <c r="A117" s="7" t="s">
        <v>757</v>
      </c>
      <c r="B117" s="7" t="s">
        <v>72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1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1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1</v>
      </c>
      <c r="AR117" s="8">
        <v>0</v>
      </c>
      <c r="AS117" s="8">
        <v>0</v>
      </c>
      <c r="AT117" s="8">
        <v>1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1</v>
      </c>
      <c r="BJ117" s="8">
        <v>0</v>
      </c>
      <c r="BK117" s="8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0</v>
      </c>
      <c r="BQ117" s="8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8">
        <v>0</v>
      </c>
      <c r="CN117" s="8">
        <v>0</v>
      </c>
      <c r="CO117" s="8">
        <v>0</v>
      </c>
      <c r="CP117" s="8">
        <v>0</v>
      </c>
      <c r="CQ117" s="8">
        <v>0</v>
      </c>
      <c r="CR117" s="8">
        <v>0</v>
      </c>
      <c r="CS117" s="8">
        <v>0</v>
      </c>
      <c r="CT117" s="7" t="e">
        <f>SUMPRODUCT(AssyMatrix[[#This Row],[Assy001]:[Assy075BP]],$C$1:$CS$1)</f>
        <v>#VALUE!</v>
      </c>
    </row>
    <row r="118" spans="1:98" x14ac:dyDescent="0.3">
      <c r="A118" s="7" t="s">
        <v>758</v>
      </c>
      <c r="B118" s="7" t="s">
        <v>73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1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1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1</v>
      </c>
      <c r="AR118" s="8">
        <v>0</v>
      </c>
      <c r="AS118" s="8">
        <v>0</v>
      </c>
      <c r="AT118" s="8">
        <v>1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1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8">
        <v>0</v>
      </c>
      <c r="CN118" s="8">
        <v>0</v>
      </c>
      <c r="CO118" s="8">
        <v>0</v>
      </c>
      <c r="CP118" s="8">
        <v>0</v>
      </c>
      <c r="CQ118" s="8">
        <v>0</v>
      </c>
      <c r="CR118" s="8">
        <v>0</v>
      </c>
      <c r="CS118" s="8">
        <v>0</v>
      </c>
      <c r="CT118" s="7" t="e">
        <f>SUMPRODUCT(AssyMatrix[[#This Row],[Assy001]:[Assy075BP]],$C$1:$CS$1)</f>
        <v>#VALUE!</v>
      </c>
    </row>
    <row r="119" spans="1:98" x14ac:dyDescent="0.3">
      <c r="A119" s="7" t="s">
        <v>759</v>
      </c>
      <c r="B119" s="7" t="s">
        <v>73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1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1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1</v>
      </c>
      <c r="AR119" s="8">
        <v>0</v>
      </c>
      <c r="AS119" s="8">
        <v>0</v>
      </c>
      <c r="AT119" s="8">
        <v>1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1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0</v>
      </c>
      <c r="BR119" s="8">
        <v>0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8">
        <v>0</v>
      </c>
      <c r="CN119" s="8">
        <v>0</v>
      </c>
      <c r="CO119" s="8">
        <v>0</v>
      </c>
      <c r="CP119" s="8">
        <v>0</v>
      </c>
      <c r="CQ119" s="8">
        <v>0</v>
      </c>
      <c r="CR119" s="8">
        <v>0</v>
      </c>
      <c r="CS119" s="8">
        <v>0</v>
      </c>
      <c r="CT119" s="7" t="e">
        <f>SUMPRODUCT(AssyMatrix[[#This Row],[Assy001]:[Assy075BP]],$C$1:$CS$1)</f>
        <v>#VALUE!</v>
      </c>
    </row>
    <row r="120" spans="1:98" x14ac:dyDescent="0.3">
      <c r="A120" s="7" t="s">
        <v>760</v>
      </c>
      <c r="B120" s="7" t="s">
        <v>74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1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1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1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1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1</v>
      </c>
      <c r="BK120" s="8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8">
        <v>0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8">
        <v>0</v>
      </c>
      <c r="CN120" s="8">
        <v>0</v>
      </c>
      <c r="CO120" s="8">
        <v>0</v>
      </c>
      <c r="CP120" s="8">
        <v>0</v>
      </c>
      <c r="CQ120" s="8">
        <v>0</v>
      </c>
      <c r="CR120" s="8">
        <v>0</v>
      </c>
      <c r="CS120" s="8">
        <v>0</v>
      </c>
      <c r="CT120" s="7" t="e">
        <f>SUMPRODUCT(AssyMatrix[[#This Row],[Assy001]:[Assy075BP]],$C$1:$CS$1)</f>
        <v>#VALUE!</v>
      </c>
    </row>
    <row r="121" spans="1:98" x14ac:dyDescent="0.3">
      <c r="A121" s="7" t="s">
        <v>761</v>
      </c>
      <c r="B121" s="7" t="s">
        <v>74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1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1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1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1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1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8">
        <v>0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8">
        <v>0</v>
      </c>
      <c r="CN121" s="8">
        <v>0</v>
      </c>
      <c r="CO121" s="8">
        <v>0</v>
      </c>
      <c r="CP121" s="8">
        <v>0</v>
      </c>
      <c r="CQ121" s="8">
        <v>0</v>
      </c>
      <c r="CR121" s="8">
        <v>0</v>
      </c>
      <c r="CS121" s="8">
        <v>0</v>
      </c>
      <c r="CT121" s="7" t="e">
        <f>SUMPRODUCT(AssyMatrix[[#This Row],[Assy001]:[Assy075BP]],$C$1:$CS$1)</f>
        <v>#VALUE!</v>
      </c>
    </row>
    <row r="122" spans="1:98" x14ac:dyDescent="0.3">
      <c r="A122" s="7" t="s">
        <v>762</v>
      </c>
      <c r="B122" s="7" t="s">
        <v>271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1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1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1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8">
        <v>0</v>
      </c>
      <c r="BM122" s="8">
        <v>0</v>
      </c>
      <c r="BN122" s="8">
        <v>1</v>
      </c>
      <c r="BO122" s="8">
        <v>0</v>
      </c>
      <c r="BP122" s="8">
        <v>0</v>
      </c>
      <c r="BQ122" s="8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8">
        <v>0</v>
      </c>
      <c r="BZ122" s="8">
        <v>0</v>
      </c>
      <c r="CA122" s="8">
        <v>0</v>
      </c>
      <c r="CB122" s="8">
        <v>0</v>
      </c>
      <c r="CC122" s="8">
        <v>0</v>
      </c>
      <c r="CD122" s="8">
        <v>0</v>
      </c>
      <c r="CE122" s="8">
        <v>0</v>
      </c>
      <c r="CF122" s="8">
        <v>0</v>
      </c>
      <c r="CG122" s="8">
        <v>0</v>
      </c>
      <c r="CH122" s="8">
        <v>0</v>
      </c>
      <c r="CI122" s="8">
        <v>0</v>
      </c>
      <c r="CJ122" s="8">
        <v>0</v>
      </c>
      <c r="CK122" s="8">
        <v>0</v>
      </c>
      <c r="CL122" s="8">
        <v>0</v>
      </c>
      <c r="CM122" s="8">
        <v>0</v>
      </c>
      <c r="CN122" s="8">
        <v>0</v>
      </c>
      <c r="CO122" s="8">
        <v>0</v>
      </c>
      <c r="CP122" s="8">
        <v>0</v>
      </c>
      <c r="CQ122" s="8">
        <v>0</v>
      </c>
      <c r="CR122" s="8">
        <v>0</v>
      </c>
      <c r="CS122" s="8">
        <v>0</v>
      </c>
      <c r="CT122" s="7" t="e">
        <f>SUMPRODUCT(AssyMatrix[[#This Row],[Assy001]:[Assy075BP]],$C$1:$CS$1)</f>
        <v>#VALUE!</v>
      </c>
    </row>
    <row r="123" spans="1:98" x14ac:dyDescent="0.3">
      <c r="A123" s="7" t="s">
        <v>763</v>
      </c>
      <c r="B123" s="7" t="s">
        <v>271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1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1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1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1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1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v>0</v>
      </c>
      <c r="CA123" s="8">
        <v>0</v>
      </c>
      <c r="CB123" s="8">
        <v>0</v>
      </c>
      <c r="CC123" s="8">
        <v>0</v>
      </c>
      <c r="CD123" s="8">
        <v>0</v>
      </c>
      <c r="CE123" s="8">
        <v>0</v>
      </c>
      <c r="CF123" s="8">
        <v>0</v>
      </c>
      <c r="CG123" s="8">
        <v>0</v>
      </c>
      <c r="CH123" s="8">
        <v>0</v>
      </c>
      <c r="CI123" s="8">
        <v>0</v>
      </c>
      <c r="CJ123" s="8">
        <v>0</v>
      </c>
      <c r="CK123" s="8">
        <v>0</v>
      </c>
      <c r="CL123" s="8">
        <v>0</v>
      </c>
      <c r="CM123" s="8">
        <v>0</v>
      </c>
      <c r="CN123" s="8">
        <v>0</v>
      </c>
      <c r="CO123" s="8">
        <v>0</v>
      </c>
      <c r="CP123" s="8">
        <v>0</v>
      </c>
      <c r="CQ123" s="8">
        <v>0</v>
      </c>
      <c r="CR123" s="8">
        <v>0</v>
      </c>
      <c r="CS123" s="8">
        <v>0</v>
      </c>
      <c r="CT123" s="7" t="e">
        <f>SUMPRODUCT(AssyMatrix[[#This Row],[Assy001]:[Assy075BP]],$C$1:$CS$1)</f>
        <v>#VALUE!</v>
      </c>
    </row>
    <row r="124" spans="1:98" x14ac:dyDescent="0.3">
      <c r="A124" s="7" t="s">
        <v>764</v>
      </c>
      <c r="B124" s="7" t="s">
        <v>75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1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1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1</v>
      </c>
      <c r="AR124" s="8">
        <v>0</v>
      </c>
      <c r="AS124" s="8">
        <v>0</v>
      </c>
      <c r="AT124" s="8">
        <v>0</v>
      </c>
      <c r="AU124" s="8">
        <v>1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1</v>
      </c>
      <c r="BK124" s="8">
        <v>0</v>
      </c>
      <c r="BL124" s="8">
        <v>0</v>
      </c>
      <c r="BM124" s="8">
        <v>0</v>
      </c>
      <c r="BN124" s="8">
        <v>0</v>
      </c>
      <c r="BO124" s="8">
        <v>0</v>
      </c>
      <c r="BP124" s="8">
        <v>0</v>
      </c>
      <c r="BQ124" s="8">
        <v>0</v>
      </c>
      <c r="BR124" s="8">
        <v>0</v>
      </c>
      <c r="BS124" s="8">
        <v>0</v>
      </c>
      <c r="BT124" s="8">
        <v>0</v>
      </c>
      <c r="BU124" s="8">
        <v>0</v>
      </c>
      <c r="BV124" s="8">
        <v>0</v>
      </c>
      <c r="BW124" s="8">
        <v>0</v>
      </c>
      <c r="BX124" s="8">
        <v>0</v>
      </c>
      <c r="BY124" s="8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8">
        <v>0</v>
      </c>
      <c r="CF124" s="8">
        <v>0</v>
      </c>
      <c r="CG124" s="8">
        <v>0</v>
      </c>
      <c r="CH124" s="8">
        <v>0</v>
      </c>
      <c r="CI124" s="8">
        <v>0</v>
      </c>
      <c r="CJ124" s="8">
        <v>0</v>
      </c>
      <c r="CK124" s="8">
        <v>0</v>
      </c>
      <c r="CL124" s="8">
        <v>0</v>
      </c>
      <c r="CM124" s="8">
        <v>0</v>
      </c>
      <c r="CN124" s="8">
        <v>0</v>
      </c>
      <c r="CO124" s="8">
        <v>0</v>
      </c>
      <c r="CP124" s="8">
        <v>0</v>
      </c>
      <c r="CQ124" s="8">
        <v>0</v>
      </c>
      <c r="CR124" s="8">
        <v>0</v>
      </c>
      <c r="CS124" s="8">
        <v>0</v>
      </c>
      <c r="CT124" s="7" t="e">
        <f>SUMPRODUCT(AssyMatrix[[#This Row],[Assy001]:[Assy075BP]],$C$1:$CS$1)</f>
        <v>#VALUE!</v>
      </c>
    </row>
    <row r="125" spans="1:98" x14ac:dyDescent="0.3">
      <c r="A125" s="7" t="s">
        <v>765</v>
      </c>
      <c r="B125" s="7" t="s">
        <v>75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1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1</v>
      </c>
      <c r="AR125" s="8">
        <v>0</v>
      </c>
      <c r="AS125" s="8">
        <v>0</v>
      </c>
      <c r="AT125" s="8">
        <v>0</v>
      </c>
      <c r="AU125" s="8">
        <v>1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1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0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8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M125" s="8">
        <v>0</v>
      </c>
      <c r="CN125" s="8">
        <v>0</v>
      </c>
      <c r="CO125" s="8">
        <v>0</v>
      </c>
      <c r="CP125" s="8">
        <v>0</v>
      </c>
      <c r="CQ125" s="8">
        <v>0</v>
      </c>
      <c r="CR125" s="8">
        <v>0</v>
      </c>
      <c r="CS125" s="8">
        <v>0</v>
      </c>
      <c r="CT125" s="7" t="e">
        <f>SUMPRODUCT(AssyMatrix[[#This Row],[Assy001]:[Assy075BP]],$C$1:$CS$1)</f>
        <v>#VALUE!</v>
      </c>
    </row>
    <row r="126" spans="1:98" x14ac:dyDescent="0.3">
      <c r="A126" s="7" t="s">
        <v>766</v>
      </c>
      <c r="B126" s="7" t="s">
        <v>272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1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1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1</v>
      </c>
      <c r="AR126" s="8">
        <v>0</v>
      </c>
      <c r="AS126" s="8">
        <v>0</v>
      </c>
      <c r="AT126" s="8">
        <v>0</v>
      </c>
      <c r="AU126" s="8">
        <v>1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1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8">
        <v>0</v>
      </c>
      <c r="CP126" s="8">
        <v>0</v>
      </c>
      <c r="CQ126" s="8">
        <v>0</v>
      </c>
      <c r="CR126" s="8">
        <v>0</v>
      </c>
      <c r="CS126" s="8">
        <v>0</v>
      </c>
      <c r="CT126" s="7" t="e">
        <f>SUMPRODUCT(AssyMatrix[[#This Row],[Assy001]:[Assy075BP]],$C$1:$CS$1)</f>
        <v>#VALUE!</v>
      </c>
    </row>
    <row r="127" spans="1:98" x14ac:dyDescent="0.3">
      <c r="A127" s="7" t="s">
        <v>767</v>
      </c>
      <c r="B127" s="7" t="s">
        <v>272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1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1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1</v>
      </c>
      <c r="AR127" s="8">
        <v>0</v>
      </c>
      <c r="AS127" s="8">
        <v>0</v>
      </c>
      <c r="AT127" s="8">
        <v>0</v>
      </c>
      <c r="AU127" s="8">
        <v>1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1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7" t="e">
        <f>SUMPRODUCT(AssyMatrix[[#This Row],[Assy001]:[Assy075BP]],$C$1:$CS$1)</f>
        <v>#VALUE!</v>
      </c>
    </row>
    <row r="128" spans="1:98" x14ac:dyDescent="0.3">
      <c r="A128" s="7">
        <v>6562</v>
      </c>
      <c r="B128" s="7" t="s">
        <v>76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1</v>
      </c>
      <c r="O128" s="8">
        <v>1</v>
      </c>
      <c r="P128" s="8">
        <v>1</v>
      </c>
      <c r="Q128" s="8">
        <v>1</v>
      </c>
      <c r="R128" s="8">
        <v>1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1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1</v>
      </c>
      <c r="AS128" s="8">
        <v>0</v>
      </c>
      <c r="AT128" s="8">
        <v>1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8">
        <v>0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8">
        <v>0</v>
      </c>
      <c r="CL128" s="8">
        <v>0</v>
      </c>
      <c r="CM128" s="8">
        <v>0</v>
      </c>
      <c r="CN128" s="8">
        <v>0</v>
      </c>
      <c r="CO128" s="8">
        <v>0</v>
      </c>
      <c r="CP128" s="8">
        <v>0</v>
      </c>
      <c r="CQ128" s="8">
        <v>0</v>
      </c>
      <c r="CR128" s="8">
        <v>0</v>
      </c>
      <c r="CS128" s="8">
        <v>0</v>
      </c>
      <c r="CT128" s="7" t="e">
        <f>SUMPRODUCT(AssyMatrix[[#This Row],[Assy001]:[Assy075BP]],$C$1:$CS$1)</f>
        <v>#VALUE!</v>
      </c>
    </row>
    <row r="129" spans="1:98" x14ac:dyDescent="0.3">
      <c r="A129" s="7">
        <v>6563</v>
      </c>
      <c r="B129" s="7" t="s">
        <v>77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1</v>
      </c>
      <c r="O129" s="8">
        <v>1</v>
      </c>
      <c r="P129" s="8">
        <v>1</v>
      </c>
      <c r="Q129" s="8">
        <v>1</v>
      </c>
      <c r="R129" s="8">
        <v>1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1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1</v>
      </c>
      <c r="AR129" s="8">
        <v>0</v>
      </c>
      <c r="AS129" s="8">
        <v>0</v>
      </c>
      <c r="AT129" s="8">
        <v>1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8">
        <v>0</v>
      </c>
      <c r="CL129" s="8">
        <v>0</v>
      </c>
      <c r="CM129" s="8">
        <v>0</v>
      </c>
      <c r="CN129" s="8">
        <v>0</v>
      </c>
      <c r="CO129" s="8">
        <v>0</v>
      </c>
      <c r="CP129" s="8">
        <v>0</v>
      </c>
      <c r="CQ129" s="8">
        <v>0</v>
      </c>
      <c r="CR129" s="8">
        <v>0</v>
      </c>
      <c r="CS129" s="8">
        <v>0</v>
      </c>
      <c r="CT129" s="7" t="e">
        <f>SUMPRODUCT(AssyMatrix[[#This Row],[Assy001]:[Assy075BP]],$C$1:$CS$1)</f>
        <v>#VALUE!</v>
      </c>
    </row>
    <row r="130" spans="1:98" x14ac:dyDescent="0.3">
      <c r="A130" s="7">
        <v>6564</v>
      </c>
      <c r="B130" s="7" t="s">
        <v>78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1</v>
      </c>
      <c r="U130" s="8">
        <v>1</v>
      </c>
      <c r="V130" s="8">
        <v>1</v>
      </c>
      <c r="W130" s="8">
        <v>1</v>
      </c>
      <c r="X130" s="8">
        <v>1</v>
      </c>
      <c r="Y130" s="8">
        <v>0</v>
      </c>
      <c r="Z130" s="8">
        <v>0</v>
      </c>
      <c r="AA130" s="8">
        <v>0</v>
      </c>
      <c r="AB130" s="8">
        <v>0</v>
      </c>
      <c r="AC130" s="8">
        <v>1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1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1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8">
        <v>0</v>
      </c>
      <c r="CP130" s="8">
        <v>0</v>
      </c>
      <c r="CQ130" s="8">
        <v>0</v>
      </c>
      <c r="CR130" s="8">
        <v>0</v>
      </c>
      <c r="CS130" s="8">
        <v>0</v>
      </c>
      <c r="CT130" s="7" t="e">
        <f>SUMPRODUCT(AssyMatrix[[#This Row],[Assy001]:[Assy075BP]],$C$1:$CS$1)</f>
        <v>#VALUE!</v>
      </c>
    </row>
    <row r="131" spans="1:98" x14ac:dyDescent="0.3">
      <c r="A131" s="7">
        <v>6565</v>
      </c>
      <c r="B131" s="7" t="s">
        <v>79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1</v>
      </c>
      <c r="U131" s="8">
        <v>1</v>
      </c>
      <c r="V131" s="8">
        <v>1</v>
      </c>
      <c r="W131" s="8">
        <v>1</v>
      </c>
      <c r="X131" s="8">
        <v>1</v>
      </c>
      <c r="Y131" s="8">
        <v>0</v>
      </c>
      <c r="Z131" s="8">
        <v>0</v>
      </c>
      <c r="AA131" s="8">
        <v>0</v>
      </c>
      <c r="AB131" s="8">
        <v>0</v>
      </c>
      <c r="AC131" s="8">
        <v>1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1</v>
      </c>
      <c r="AR131" s="8">
        <v>0</v>
      </c>
      <c r="AS131" s="8">
        <v>0</v>
      </c>
      <c r="AT131" s="8">
        <v>0</v>
      </c>
      <c r="AU131" s="8">
        <v>1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8">
        <v>0</v>
      </c>
      <c r="CL131" s="8">
        <v>0</v>
      </c>
      <c r="CM131" s="8">
        <v>0</v>
      </c>
      <c r="CN131" s="8">
        <v>0</v>
      </c>
      <c r="CO131" s="8">
        <v>0</v>
      </c>
      <c r="CP131" s="8">
        <v>0</v>
      </c>
      <c r="CQ131" s="8">
        <v>0</v>
      </c>
      <c r="CR131" s="8">
        <v>0</v>
      </c>
      <c r="CS131" s="8">
        <v>0</v>
      </c>
      <c r="CT131" s="7" t="e">
        <f>SUMPRODUCT(AssyMatrix[[#This Row],[Assy001]:[Assy075BP]],$C$1:$CS$1)</f>
        <v>#VALUE!</v>
      </c>
    </row>
    <row r="132" spans="1:98" x14ac:dyDescent="0.3">
      <c r="A132" s="7" t="s">
        <v>726</v>
      </c>
      <c r="B132" s="7" t="s">
        <v>80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1</v>
      </c>
      <c r="O132" s="8">
        <v>1</v>
      </c>
      <c r="P132" s="8">
        <v>1</v>
      </c>
      <c r="Q132" s="8">
        <v>1</v>
      </c>
      <c r="R132" s="8">
        <v>1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1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1</v>
      </c>
      <c r="AS132" s="8">
        <v>0</v>
      </c>
      <c r="AT132" s="8">
        <v>1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8">
        <v>0</v>
      </c>
      <c r="BM132" s="8">
        <v>0</v>
      </c>
      <c r="BN132" s="8">
        <v>0</v>
      </c>
      <c r="BO132" s="8">
        <v>0</v>
      </c>
      <c r="BP132" s="8">
        <v>0</v>
      </c>
      <c r="BQ132" s="8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8">
        <v>0</v>
      </c>
      <c r="CP132" s="8">
        <v>0</v>
      </c>
      <c r="CQ132" s="8">
        <v>0</v>
      </c>
      <c r="CR132" s="8">
        <v>0</v>
      </c>
      <c r="CS132" s="8">
        <v>0</v>
      </c>
      <c r="CT132" s="7" t="e">
        <f>SUMPRODUCT(AssyMatrix[[#This Row],[Assy001]:[Assy075BP]],$C$1:$CS$1)</f>
        <v>#VALUE!</v>
      </c>
    </row>
    <row r="133" spans="1:98" x14ac:dyDescent="0.3">
      <c r="A133" s="7" t="s">
        <v>727</v>
      </c>
      <c r="B133" s="7" t="s">
        <v>81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1</v>
      </c>
      <c r="O133" s="8">
        <v>1</v>
      </c>
      <c r="P133" s="8">
        <v>1</v>
      </c>
      <c r="Q133" s="8">
        <v>1</v>
      </c>
      <c r="R133" s="8">
        <v>1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1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1</v>
      </c>
      <c r="AR133" s="8">
        <v>0</v>
      </c>
      <c r="AS133" s="8">
        <v>0</v>
      </c>
      <c r="AT133" s="8">
        <v>1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8">
        <v>0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8">
        <v>0</v>
      </c>
      <c r="CL133" s="8">
        <v>0</v>
      </c>
      <c r="CM133" s="8">
        <v>0</v>
      </c>
      <c r="CN133" s="8">
        <v>0</v>
      </c>
      <c r="CO133" s="8">
        <v>0</v>
      </c>
      <c r="CP133" s="8">
        <v>0</v>
      </c>
      <c r="CQ133" s="8">
        <v>0</v>
      </c>
      <c r="CR133" s="8">
        <v>0</v>
      </c>
      <c r="CS133" s="8">
        <v>0</v>
      </c>
      <c r="CT133" s="7" t="e">
        <f>SUMPRODUCT(AssyMatrix[[#This Row],[Assy001]:[Assy075BP]],$C$1:$CS$1)</f>
        <v>#VALUE!</v>
      </c>
    </row>
    <row r="134" spans="1:98" x14ac:dyDescent="0.3">
      <c r="A134" s="7" t="s">
        <v>728</v>
      </c>
      <c r="B134" s="7" t="s">
        <v>82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1</v>
      </c>
      <c r="U134" s="8">
        <v>1</v>
      </c>
      <c r="V134" s="8">
        <v>1</v>
      </c>
      <c r="W134" s="8">
        <v>1</v>
      </c>
      <c r="X134" s="8">
        <v>1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1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1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8">
        <v>1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8">
        <v>0</v>
      </c>
      <c r="BL134" s="8">
        <v>0</v>
      </c>
      <c r="BM134" s="8">
        <v>0</v>
      </c>
      <c r="BN134" s="8">
        <v>0</v>
      </c>
      <c r="BO134" s="8">
        <v>0</v>
      </c>
      <c r="BP134" s="8">
        <v>0</v>
      </c>
      <c r="BQ134" s="8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8">
        <v>0</v>
      </c>
      <c r="BZ134" s="8">
        <v>0</v>
      </c>
      <c r="CA134" s="8">
        <v>0</v>
      </c>
      <c r="CB134" s="8">
        <v>0</v>
      </c>
      <c r="CC134" s="8">
        <v>0</v>
      </c>
      <c r="CD134" s="8">
        <v>0</v>
      </c>
      <c r="CE134" s="8">
        <v>0</v>
      </c>
      <c r="CF134" s="8">
        <v>0</v>
      </c>
      <c r="CG134" s="8">
        <v>0</v>
      </c>
      <c r="CH134" s="8">
        <v>0</v>
      </c>
      <c r="CI134" s="8">
        <v>0</v>
      </c>
      <c r="CJ134" s="8">
        <v>0</v>
      </c>
      <c r="CK134" s="8">
        <v>0</v>
      </c>
      <c r="CL134" s="8">
        <v>0</v>
      </c>
      <c r="CM134" s="8">
        <v>0</v>
      </c>
      <c r="CN134" s="8">
        <v>0</v>
      </c>
      <c r="CO134" s="8">
        <v>0</v>
      </c>
      <c r="CP134" s="8">
        <v>0</v>
      </c>
      <c r="CQ134" s="8">
        <v>0</v>
      </c>
      <c r="CR134" s="8">
        <v>0</v>
      </c>
      <c r="CS134" s="8">
        <v>0</v>
      </c>
      <c r="CT134" s="7" t="e">
        <f>SUMPRODUCT(AssyMatrix[[#This Row],[Assy001]:[Assy075BP]],$C$1:$CS$1)</f>
        <v>#VALUE!</v>
      </c>
    </row>
    <row r="135" spans="1:98" x14ac:dyDescent="0.3">
      <c r="A135" s="7" t="s">
        <v>729</v>
      </c>
      <c r="B135" s="7" t="s">
        <v>83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1</v>
      </c>
      <c r="U135" s="8">
        <v>1</v>
      </c>
      <c r="V135" s="8">
        <v>1</v>
      </c>
      <c r="W135" s="8">
        <v>1</v>
      </c>
      <c r="X135" s="8">
        <v>1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1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1</v>
      </c>
      <c r="AR135" s="8">
        <v>0</v>
      </c>
      <c r="AS135" s="8">
        <v>0</v>
      </c>
      <c r="AT135" s="8">
        <v>0</v>
      </c>
      <c r="AU135" s="8">
        <v>1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8">
        <v>0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S135" s="8">
        <v>0</v>
      </c>
      <c r="BT135" s="8">
        <v>0</v>
      </c>
      <c r="BU135" s="8">
        <v>0</v>
      </c>
      <c r="BV135" s="8">
        <v>0</v>
      </c>
      <c r="BW135" s="8">
        <v>0</v>
      </c>
      <c r="BX135" s="8">
        <v>0</v>
      </c>
      <c r="BY135" s="8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8">
        <v>0</v>
      </c>
      <c r="CL135" s="8">
        <v>0</v>
      </c>
      <c r="CM135" s="8">
        <v>0</v>
      </c>
      <c r="CN135" s="8">
        <v>0</v>
      </c>
      <c r="CO135" s="8">
        <v>0</v>
      </c>
      <c r="CP135" s="8">
        <v>0</v>
      </c>
      <c r="CQ135" s="8">
        <v>0</v>
      </c>
      <c r="CR135" s="8">
        <v>0</v>
      </c>
      <c r="CS135" s="8">
        <v>0</v>
      </c>
      <c r="CT135" s="7" t="e">
        <f>SUMPRODUCT(AssyMatrix[[#This Row],[Assy001]:[Assy075BP]],$C$1:$CS$1)</f>
        <v>#VALUE!</v>
      </c>
    </row>
    <row r="136" spans="1:98" x14ac:dyDescent="0.3">
      <c r="A136" s="7">
        <v>6566</v>
      </c>
      <c r="B136" s="7" t="s">
        <v>644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8">
        <v>0</v>
      </c>
      <c r="BM136" s="8">
        <v>0</v>
      </c>
      <c r="BN136" s="8">
        <v>0</v>
      </c>
      <c r="BO136" s="8">
        <v>0</v>
      </c>
      <c r="BP136" s="8">
        <v>0</v>
      </c>
      <c r="BQ136" s="8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8">
        <v>0</v>
      </c>
      <c r="CF136" s="8">
        <v>0</v>
      </c>
      <c r="CG136" s="8">
        <v>2</v>
      </c>
      <c r="CH136" s="8">
        <v>0</v>
      </c>
      <c r="CI136" s="8">
        <v>2</v>
      </c>
      <c r="CJ136" s="8">
        <v>2</v>
      </c>
      <c r="CK136" s="8">
        <v>1</v>
      </c>
      <c r="CL136" s="8">
        <v>1</v>
      </c>
      <c r="CM136" s="8">
        <v>0</v>
      </c>
      <c r="CN136" s="8">
        <v>0</v>
      </c>
      <c r="CO136" s="8">
        <v>0</v>
      </c>
      <c r="CP136" s="8">
        <v>0</v>
      </c>
      <c r="CQ136" s="8">
        <v>0</v>
      </c>
      <c r="CR136" s="8">
        <v>0</v>
      </c>
      <c r="CS136" s="8">
        <v>0</v>
      </c>
      <c r="CT136" s="7" t="e">
        <f>SUMPRODUCT(AssyMatrix[[#This Row],[Assy001]:[Assy075BP]],$C$1:$CS$1)</f>
        <v>#VALUE!</v>
      </c>
    </row>
    <row r="137" spans="1:98" x14ac:dyDescent="0.3">
      <c r="A137" s="7">
        <v>6567</v>
      </c>
      <c r="B137" s="7" t="s">
        <v>645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1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8">
        <v>0</v>
      </c>
      <c r="CF137" s="8">
        <v>0</v>
      </c>
      <c r="CG137" s="8">
        <v>2</v>
      </c>
      <c r="CH137" s="8">
        <v>0</v>
      </c>
      <c r="CI137" s="8">
        <v>2</v>
      </c>
      <c r="CJ137" s="8">
        <v>2</v>
      </c>
      <c r="CK137" s="8">
        <v>1</v>
      </c>
      <c r="CL137" s="8">
        <v>1</v>
      </c>
      <c r="CM137" s="8">
        <v>0</v>
      </c>
      <c r="CN137" s="8">
        <v>0</v>
      </c>
      <c r="CO137" s="8">
        <v>0</v>
      </c>
      <c r="CP137" s="8">
        <v>0</v>
      </c>
      <c r="CQ137" s="8">
        <v>0</v>
      </c>
      <c r="CR137" s="8">
        <v>0</v>
      </c>
      <c r="CS137" s="8">
        <v>0</v>
      </c>
      <c r="CT137" s="7" t="e">
        <f>SUMPRODUCT(AssyMatrix[[#This Row],[Assy001]:[Assy075BP]],$C$1:$CS$1)</f>
        <v>#VALUE!</v>
      </c>
    </row>
    <row r="138" spans="1:98" x14ac:dyDescent="0.3">
      <c r="A138" s="7" t="s">
        <v>612</v>
      </c>
      <c r="B138" s="7" t="s">
        <v>646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1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8">
        <v>0</v>
      </c>
      <c r="BM138" s="8">
        <v>0</v>
      </c>
      <c r="BN138" s="8">
        <v>0</v>
      </c>
      <c r="BO138" s="8">
        <v>0</v>
      </c>
      <c r="BP138" s="8">
        <v>0</v>
      </c>
      <c r="BQ138" s="8">
        <v>0</v>
      </c>
      <c r="BR138" s="8">
        <v>0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8">
        <v>0</v>
      </c>
      <c r="BZ138" s="8">
        <v>0</v>
      </c>
      <c r="CA138" s="8">
        <v>0</v>
      </c>
      <c r="CB138" s="8">
        <v>0</v>
      </c>
      <c r="CC138" s="8">
        <v>0</v>
      </c>
      <c r="CD138" s="8">
        <v>0</v>
      </c>
      <c r="CE138" s="8">
        <v>0</v>
      </c>
      <c r="CF138" s="8">
        <v>0</v>
      </c>
      <c r="CG138" s="8">
        <v>2</v>
      </c>
      <c r="CH138" s="8">
        <v>0</v>
      </c>
      <c r="CI138" s="8">
        <v>2</v>
      </c>
      <c r="CJ138" s="8">
        <v>2</v>
      </c>
      <c r="CK138" s="8">
        <v>1</v>
      </c>
      <c r="CL138" s="8">
        <v>1</v>
      </c>
      <c r="CM138" s="8">
        <v>0</v>
      </c>
      <c r="CN138" s="8">
        <v>0</v>
      </c>
      <c r="CO138" s="8">
        <v>0</v>
      </c>
      <c r="CP138" s="8">
        <v>0</v>
      </c>
      <c r="CQ138" s="8">
        <v>0</v>
      </c>
      <c r="CR138" s="8">
        <v>0</v>
      </c>
      <c r="CS138" s="8">
        <v>0</v>
      </c>
      <c r="CT138" s="7" t="e">
        <f>SUMPRODUCT(AssyMatrix[[#This Row],[Assy001]:[Assy075BP]],$C$1:$CS$1)</f>
        <v>#VALUE!</v>
      </c>
    </row>
    <row r="139" spans="1:98" x14ac:dyDescent="0.3">
      <c r="A139" s="7">
        <v>6568</v>
      </c>
      <c r="B139" s="7" t="s">
        <v>647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0</v>
      </c>
      <c r="CI139" s="8">
        <v>0</v>
      </c>
      <c r="CJ139" s="8">
        <v>0</v>
      </c>
      <c r="CK139" s="8">
        <v>0</v>
      </c>
      <c r="CL139" s="8">
        <v>0</v>
      </c>
      <c r="CM139" s="8">
        <v>0</v>
      </c>
      <c r="CN139" s="8">
        <v>2</v>
      </c>
      <c r="CO139" s="8">
        <v>0</v>
      </c>
      <c r="CP139" s="8">
        <v>2</v>
      </c>
      <c r="CQ139" s="8">
        <v>2</v>
      </c>
      <c r="CR139" s="8">
        <v>1</v>
      </c>
      <c r="CS139" s="8">
        <v>1</v>
      </c>
      <c r="CT139" s="7" t="e">
        <f>SUMPRODUCT(AssyMatrix[[#This Row],[Assy001]:[Assy075BP]],$C$1:$CS$1)</f>
        <v>#VALUE!</v>
      </c>
    </row>
    <row r="140" spans="1:98" x14ac:dyDescent="0.3">
      <c r="A140" s="7">
        <v>6569</v>
      </c>
      <c r="B140" s="7" t="s">
        <v>648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1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8">
        <v>0</v>
      </c>
      <c r="BM140" s="8">
        <v>0</v>
      </c>
      <c r="BN140" s="8">
        <v>0</v>
      </c>
      <c r="BO140" s="8">
        <v>0</v>
      </c>
      <c r="BP140" s="8">
        <v>0</v>
      </c>
      <c r="BQ140" s="8">
        <v>0</v>
      </c>
      <c r="BR140" s="8">
        <v>0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8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8">
        <v>0</v>
      </c>
      <c r="CF140" s="8">
        <v>0</v>
      </c>
      <c r="CG140" s="8">
        <v>0</v>
      </c>
      <c r="CH140" s="8">
        <v>0</v>
      </c>
      <c r="CI140" s="8">
        <v>0</v>
      </c>
      <c r="CJ140" s="8">
        <v>0</v>
      </c>
      <c r="CK140" s="8">
        <v>0</v>
      </c>
      <c r="CL140" s="8">
        <v>0</v>
      </c>
      <c r="CM140" s="8">
        <v>0</v>
      </c>
      <c r="CN140" s="8">
        <v>2</v>
      </c>
      <c r="CO140" s="8">
        <v>0</v>
      </c>
      <c r="CP140" s="8">
        <v>2</v>
      </c>
      <c r="CQ140" s="8">
        <v>2</v>
      </c>
      <c r="CR140" s="8">
        <v>1</v>
      </c>
      <c r="CS140" s="8">
        <v>1</v>
      </c>
      <c r="CT140" s="7" t="e">
        <f>SUMPRODUCT(AssyMatrix[[#This Row],[Assy001]:[Assy075BP]],$C$1:$CS$1)</f>
        <v>#VALUE!</v>
      </c>
    </row>
    <row r="141" spans="1:98" x14ac:dyDescent="0.3">
      <c r="A141" s="7" t="s">
        <v>613</v>
      </c>
      <c r="B141" s="7" t="s">
        <v>649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1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8">
        <v>0</v>
      </c>
      <c r="BL141" s="8">
        <v>0</v>
      </c>
      <c r="BM141" s="8">
        <v>0</v>
      </c>
      <c r="BN141" s="8">
        <v>0</v>
      </c>
      <c r="BO141" s="8">
        <v>0</v>
      </c>
      <c r="BP141" s="8">
        <v>0</v>
      </c>
      <c r="BQ141" s="8">
        <v>0</v>
      </c>
      <c r="BR141" s="8">
        <v>0</v>
      </c>
      <c r="BS141" s="8">
        <v>0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8">
        <v>0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8">
        <v>0</v>
      </c>
      <c r="CL141" s="8">
        <v>0</v>
      </c>
      <c r="CM141" s="8">
        <v>0</v>
      </c>
      <c r="CN141" s="8">
        <v>2</v>
      </c>
      <c r="CO141" s="8">
        <v>0</v>
      </c>
      <c r="CP141" s="8">
        <v>2</v>
      </c>
      <c r="CQ141" s="8">
        <v>2</v>
      </c>
      <c r="CR141" s="8">
        <v>1</v>
      </c>
      <c r="CS141" s="8">
        <v>1</v>
      </c>
      <c r="CT141" s="7" t="e">
        <f>SUMPRODUCT(AssyMatrix[[#This Row],[Assy001]:[Assy075BP]],$C$1:$CS$1)</f>
        <v>#VALUE!</v>
      </c>
    </row>
    <row r="142" spans="1:98" x14ac:dyDescent="0.3">
      <c r="A142" s="7">
        <v>6502</v>
      </c>
      <c r="B142" s="7" t="s">
        <v>84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1</v>
      </c>
      <c r="O142" s="8">
        <v>1</v>
      </c>
      <c r="P142" s="8">
        <v>1</v>
      </c>
      <c r="Q142" s="8">
        <v>1</v>
      </c>
      <c r="R142" s="8">
        <v>1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>
        <v>0</v>
      </c>
      <c r="BQ142" s="8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8">
        <v>0</v>
      </c>
      <c r="CF142" s="8">
        <v>0</v>
      </c>
      <c r="CG142" s="8">
        <v>0</v>
      </c>
      <c r="CH142" s="8">
        <v>0</v>
      </c>
      <c r="CI142" s="8">
        <v>0</v>
      </c>
      <c r="CJ142" s="8">
        <v>0</v>
      </c>
      <c r="CK142" s="8">
        <v>0</v>
      </c>
      <c r="CL142" s="8">
        <v>0</v>
      </c>
      <c r="CM142" s="8">
        <v>0</v>
      </c>
      <c r="CN142" s="8">
        <v>0</v>
      </c>
      <c r="CO142" s="8">
        <v>0</v>
      </c>
      <c r="CP142" s="8">
        <v>0</v>
      </c>
      <c r="CQ142" s="8">
        <v>0</v>
      </c>
      <c r="CR142" s="8">
        <v>0</v>
      </c>
      <c r="CS142" s="8">
        <v>0</v>
      </c>
      <c r="CT142" s="7" t="e">
        <f>SUMPRODUCT(AssyMatrix[[#This Row],[Assy001]:[Assy075BP]],$C$1:$CS$1)</f>
        <v>#VALUE!</v>
      </c>
    </row>
    <row r="143" spans="1:98" x14ac:dyDescent="0.3">
      <c r="A143" s="7">
        <v>6503</v>
      </c>
      <c r="B143" s="7" t="s">
        <v>85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1</v>
      </c>
      <c r="O143" s="8">
        <v>1</v>
      </c>
      <c r="P143" s="8">
        <v>1</v>
      </c>
      <c r="Q143" s="8">
        <v>1</v>
      </c>
      <c r="R143" s="8">
        <v>1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1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8">
        <v>0</v>
      </c>
      <c r="BM143" s="8">
        <v>0</v>
      </c>
      <c r="BN143" s="8">
        <v>0</v>
      </c>
      <c r="BO143" s="8">
        <v>0</v>
      </c>
      <c r="BP143" s="8">
        <v>0</v>
      </c>
      <c r="BQ143" s="8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8">
        <v>0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0</v>
      </c>
      <c r="CS143" s="8">
        <v>0</v>
      </c>
      <c r="CT143" s="7" t="e">
        <f>SUMPRODUCT(AssyMatrix[[#This Row],[Assy001]:[Assy075BP]],$C$1:$CS$1)</f>
        <v>#VALUE!</v>
      </c>
    </row>
    <row r="144" spans="1:98" x14ac:dyDescent="0.3">
      <c r="A144" s="7">
        <v>6504</v>
      </c>
      <c r="B144" s="7" t="s">
        <v>86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1</v>
      </c>
      <c r="U144" s="8">
        <v>1</v>
      </c>
      <c r="V144" s="8">
        <v>1</v>
      </c>
      <c r="W144" s="8">
        <v>1</v>
      </c>
      <c r="X144" s="8">
        <v>1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v>0</v>
      </c>
      <c r="BN144" s="8">
        <v>0</v>
      </c>
      <c r="BO144" s="8">
        <v>0</v>
      </c>
      <c r="BP144" s="8">
        <v>0</v>
      </c>
      <c r="BQ144" s="8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M144" s="8">
        <v>0</v>
      </c>
      <c r="CN144" s="8">
        <v>0</v>
      </c>
      <c r="CO144" s="8">
        <v>0</v>
      </c>
      <c r="CP144" s="8">
        <v>0</v>
      </c>
      <c r="CQ144" s="8">
        <v>0</v>
      </c>
      <c r="CR144" s="8">
        <v>0</v>
      </c>
      <c r="CS144" s="8">
        <v>0</v>
      </c>
      <c r="CT144" s="7" t="e">
        <f>SUMPRODUCT(AssyMatrix[[#This Row],[Assy001]:[Assy075BP]],$C$1:$CS$1)</f>
        <v>#VALUE!</v>
      </c>
    </row>
    <row r="145" spans="1:98" x14ac:dyDescent="0.3">
      <c r="A145" s="7">
        <v>6505</v>
      </c>
      <c r="B145" s="7" t="s">
        <v>87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1</v>
      </c>
      <c r="U145" s="8">
        <v>1</v>
      </c>
      <c r="V145" s="8">
        <v>1</v>
      </c>
      <c r="W145" s="8">
        <v>1</v>
      </c>
      <c r="X145" s="8">
        <v>1</v>
      </c>
      <c r="Y145" s="8">
        <v>0</v>
      </c>
      <c r="Z145" s="8">
        <v>0</v>
      </c>
      <c r="AA145" s="8">
        <v>0</v>
      </c>
      <c r="AB145" s="8">
        <v>0</v>
      </c>
      <c r="AC145" s="8">
        <v>1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0</v>
      </c>
      <c r="BO145" s="8">
        <v>0</v>
      </c>
      <c r="BP145" s="8">
        <v>0</v>
      </c>
      <c r="BQ145" s="8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8">
        <v>0</v>
      </c>
      <c r="CF145" s="8">
        <v>0</v>
      </c>
      <c r="CG145" s="8">
        <v>0</v>
      </c>
      <c r="CH145" s="8">
        <v>0</v>
      </c>
      <c r="CI145" s="8">
        <v>0</v>
      </c>
      <c r="CJ145" s="8">
        <v>0</v>
      </c>
      <c r="CK145" s="8">
        <v>0</v>
      </c>
      <c r="CL145" s="8">
        <v>0</v>
      </c>
      <c r="CM145" s="8">
        <v>0</v>
      </c>
      <c r="CN145" s="8">
        <v>0</v>
      </c>
      <c r="CO145" s="8">
        <v>0</v>
      </c>
      <c r="CP145" s="8">
        <v>0</v>
      </c>
      <c r="CQ145" s="8">
        <v>0</v>
      </c>
      <c r="CR145" s="8">
        <v>0</v>
      </c>
      <c r="CS145" s="8">
        <v>0</v>
      </c>
      <c r="CT145" s="7" t="e">
        <f>SUMPRODUCT(AssyMatrix[[#This Row],[Assy001]:[Assy075BP]],$C$1:$CS$1)</f>
        <v>#VALUE!</v>
      </c>
    </row>
    <row r="146" spans="1:98" x14ac:dyDescent="0.3">
      <c r="A146" s="7" t="s">
        <v>672</v>
      </c>
      <c r="B146" s="7" t="s">
        <v>88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1</v>
      </c>
      <c r="O146" s="8">
        <v>1</v>
      </c>
      <c r="P146" s="8">
        <v>1</v>
      </c>
      <c r="Q146" s="8">
        <v>1</v>
      </c>
      <c r="R146" s="8">
        <v>1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1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0</v>
      </c>
      <c r="BL146" s="8">
        <v>0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8">
        <v>0</v>
      </c>
      <c r="CF146" s="8">
        <v>0</v>
      </c>
      <c r="CG146" s="8">
        <v>0</v>
      </c>
      <c r="CH146" s="8">
        <v>0</v>
      </c>
      <c r="CI146" s="8">
        <v>0</v>
      </c>
      <c r="CJ146" s="8">
        <v>0</v>
      </c>
      <c r="CK146" s="8">
        <v>0</v>
      </c>
      <c r="CL146" s="8">
        <v>0</v>
      </c>
      <c r="CM146" s="8">
        <v>0</v>
      </c>
      <c r="CN146" s="8">
        <v>0</v>
      </c>
      <c r="CO146" s="8">
        <v>0</v>
      </c>
      <c r="CP146" s="8">
        <v>0</v>
      </c>
      <c r="CQ146" s="8">
        <v>0</v>
      </c>
      <c r="CR146" s="8">
        <v>0</v>
      </c>
      <c r="CS146" s="8">
        <v>0</v>
      </c>
      <c r="CT146" s="7" t="e">
        <f>SUMPRODUCT(AssyMatrix[[#This Row],[Assy001]:[Assy075BP]],$C$1:$CS$1)</f>
        <v>#VALUE!</v>
      </c>
    </row>
    <row r="147" spans="1:98" x14ac:dyDescent="0.3">
      <c r="A147" s="7" t="s">
        <v>673</v>
      </c>
      <c r="B147" s="7" t="s">
        <v>89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1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0</v>
      </c>
      <c r="BH147" s="8">
        <v>0</v>
      </c>
      <c r="BI147" s="8">
        <v>0</v>
      </c>
      <c r="BJ147" s="8">
        <v>0</v>
      </c>
      <c r="BK147" s="8">
        <v>0</v>
      </c>
      <c r="BL147" s="8">
        <v>0</v>
      </c>
      <c r="BM147" s="8">
        <v>0</v>
      </c>
      <c r="BN147" s="8">
        <v>0</v>
      </c>
      <c r="BO147" s="8">
        <v>0</v>
      </c>
      <c r="BP147" s="8">
        <v>0</v>
      </c>
      <c r="BQ147" s="8">
        <v>0</v>
      </c>
      <c r="BR147" s="8">
        <v>0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8">
        <v>0</v>
      </c>
      <c r="CF147" s="8">
        <v>0</v>
      </c>
      <c r="CG147" s="8">
        <v>0</v>
      </c>
      <c r="CH147" s="8">
        <v>0</v>
      </c>
      <c r="CI147" s="8">
        <v>0</v>
      </c>
      <c r="CJ147" s="8">
        <v>0</v>
      </c>
      <c r="CK147" s="8">
        <v>0</v>
      </c>
      <c r="CL147" s="8">
        <v>0</v>
      </c>
      <c r="CM147" s="8">
        <v>0</v>
      </c>
      <c r="CN147" s="8">
        <v>0</v>
      </c>
      <c r="CO147" s="8">
        <v>0</v>
      </c>
      <c r="CP147" s="8">
        <v>0</v>
      </c>
      <c r="CQ147" s="8">
        <v>0</v>
      </c>
      <c r="CR147" s="8">
        <v>0</v>
      </c>
      <c r="CS147" s="8">
        <v>0</v>
      </c>
      <c r="CT147" s="7" t="e">
        <f>SUMPRODUCT(AssyMatrix[[#This Row],[Assy001]:[Assy075BP]],$C$1:$CS$1)</f>
        <v>#VALUE!</v>
      </c>
    </row>
    <row r="148" spans="1:98" x14ac:dyDescent="0.3">
      <c r="A148" s="81" t="s">
        <v>502</v>
      </c>
      <c r="B148" s="81" t="s">
        <v>43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2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2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2</v>
      </c>
      <c r="AU148" s="8">
        <v>0</v>
      </c>
      <c r="AV148" s="8">
        <v>0</v>
      </c>
      <c r="AW148" s="8">
        <v>0</v>
      </c>
      <c r="AX148" s="8">
        <v>0</v>
      </c>
      <c r="AY148" s="8">
        <v>1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8">
        <v>0</v>
      </c>
      <c r="BM148" s="8">
        <v>0</v>
      </c>
      <c r="BN148" s="8">
        <v>0</v>
      </c>
      <c r="BO148" s="8">
        <v>0</v>
      </c>
      <c r="BP148" s="8">
        <v>1</v>
      </c>
      <c r="BQ148" s="8">
        <v>0</v>
      </c>
      <c r="BR148" s="8">
        <v>0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>
        <v>0</v>
      </c>
      <c r="CA148" s="8">
        <v>0</v>
      </c>
      <c r="CB148" s="8">
        <v>0</v>
      </c>
      <c r="CC148" s="8">
        <v>0</v>
      </c>
      <c r="CD148" s="8">
        <v>0</v>
      </c>
      <c r="CE148" s="8">
        <v>0</v>
      </c>
      <c r="CF148" s="8">
        <v>0</v>
      </c>
      <c r="CG148" s="8">
        <v>0</v>
      </c>
      <c r="CH148" s="8">
        <v>0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>
        <v>0</v>
      </c>
      <c r="CO148" s="8">
        <v>0</v>
      </c>
      <c r="CP148" s="8">
        <v>0</v>
      </c>
      <c r="CQ148" s="8">
        <v>0</v>
      </c>
      <c r="CR148" s="8">
        <v>0</v>
      </c>
      <c r="CS148" s="8">
        <v>0</v>
      </c>
      <c r="CT148" s="7" t="e">
        <f>SUMPRODUCT(AssyMatrix[[#This Row],[Assy001]:[Assy075BP]],$C$1:$CS$1)</f>
        <v>#VALUE!</v>
      </c>
    </row>
    <row r="149" spans="1:98" x14ac:dyDescent="0.3">
      <c r="A149" s="81" t="s">
        <v>768</v>
      </c>
      <c r="B149" s="81" t="s">
        <v>55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2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2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2</v>
      </c>
      <c r="AU149" s="8">
        <v>0</v>
      </c>
      <c r="AV149" s="8">
        <v>0</v>
      </c>
      <c r="AW149" s="8">
        <v>0</v>
      </c>
      <c r="AX149" s="8">
        <v>0</v>
      </c>
      <c r="AY149" s="8">
        <v>1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8">
        <v>0</v>
      </c>
      <c r="BM149" s="8">
        <v>0</v>
      </c>
      <c r="BN149" s="8">
        <v>0</v>
      </c>
      <c r="BO149" s="8">
        <v>0</v>
      </c>
      <c r="BP149" s="8">
        <v>1</v>
      </c>
      <c r="BQ149" s="8">
        <v>0</v>
      </c>
      <c r="BR149" s="8">
        <v>0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8">
        <v>0</v>
      </c>
      <c r="CL149" s="8">
        <v>0</v>
      </c>
      <c r="CM149" s="8">
        <v>0</v>
      </c>
      <c r="CN149" s="8">
        <v>0</v>
      </c>
      <c r="CO149" s="8">
        <v>0</v>
      </c>
      <c r="CP149" s="8">
        <v>0</v>
      </c>
      <c r="CQ149" s="8">
        <v>0</v>
      </c>
      <c r="CR149" s="8">
        <v>0</v>
      </c>
      <c r="CS149" s="8">
        <v>0</v>
      </c>
      <c r="CT149" s="7" t="e">
        <f>SUMPRODUCT(AssyMatrix[[#This Row],[Assy001]:[Assy075BP]],$C$1:$CS$1)</f>
        <v>#VALUE!</v>
      </c>
    </row>
    <row r="150" spans="1:98" x14ac:dyDescent="0.3">
      <c r="A150" s="81" t="s">
        <v>508</v>
      </c>
      <c r="B150" s="81" t="s">
        <v>45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2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2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2</v>
      </c>
      <c r="AU150" s="8">
        <v>0</v>
      </c>
      <c r="AV150" s="8">
        <v>0</v>
      </c>
      <c r="AW150" s="8">
        <v>0</v>
      </c>
      <c r="AX150" s="8">
        <v>0</v>
      </c>
      <c r="AY150" s="8">
        <v>1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8">
        <v>0</v>
      </c>
      <c r="BM150" s="8">
        <v>0</v>
      </c>
      <c r="BN150" s="8">
        <v>0</v>
      </c>
      <c r="BO150" s="8">
        <v>0</v>
      </c>
      <c r="BP150" s="8">
        <v>0</v>
      </c>
      <c r="BQ150" s="8">
        <v>1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0</v>
      </c>
      <c r="CO150" s="8">
        <v>0</v>
      </c>
      <c r="CP150" s="8">
        <v>0</v>
      </c>
      <c r="CQ150" s="8">
        <v>0</v>
      </c>
      <c r="CR150" s="8">
        <v>0</v>
      </c>
      <c r="CS150" s="8">
        <v>0</v>
      </c>
      <c r="CT150" s="7" t="e">
        <f>SUMPRODUCT(AssyMatrix[[#This Row],[Assy001]:[Assy075BP]],$C$1:$CS$1)</f>
        <v>#VALUE!</v>
      </c>
    </row>
    <row r="151" spans="1:98" x14ac:dyDescent="0.3">
      <c r="A151" s="81" t="s">
        <v>769</v>
      </c>
      <c r="B151" s="81" t="s">
        <v>51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2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2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2</v>
      </c>
      <c r="AU151" s="8">
        <v>0</v>
      </c>
      <c r="AV151" s="8">
        <v>0</v>
      </c>
      <c r="AW151" s="8">
        <v>0</v>
      </c>
      <c r="AX151" s="8">
        <v>0</v>
      </c>
      <c r="AY151" s="8">
        <v>1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0</v>
      </c>
      <c r="BL151" s="8">
        <v>0</v>
      </c>
      <c r="BM151" s="8">
        <v>0</v>
      </c>
      <c r="BN151" s="8">
        <v>0</v>
      </c>
      <c r="BO151" s="8">
        <v>0</v>
      </c>
      <c r="BP151" s="8">
        <v>0</v>
      </c>
      <c r="BQ151" s="8">
        <v>1</v>
      </c>
      <c r="BR151" s="8">
        <v>0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8">
        <v>0</v>
      </c>
      <c r="BZ151" s="8">
        <v>0</v>
      </c>
      <c r="CA151" s="8">
        <v>0</v>
      </c>
      <c r="CB151" s="8">
        <v>0</v>
      </c>
      <c r="CC151" s="8">
        <v>0</v>
      </c>
      <c r="CD151" s="8">
        <v>0</v>
      </c>
      <c r="CE151" s="8">
        <v>0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8">
        <v>0</v>
      </c>
      <c r="CL151" s="8">
        <v>0</v>
      </c>
      <c r="CM151" s="8">
        <v>0</v>
      </c>
      <c r="CN151" s="8">
        <v>0</v>
      </c>
      <c r="CO151" s="8">
        <v>0</v>
      </c>
      <c r="CP151" s="8">
        <v>0</v>
      </c>
      <c r="CQ151" s="8">
        <v>0</v>
      </c>
      <c r="CR151" s="8">
        <v>0</v>
      </c>
      <c r="CS151" s="8">
        <v>0</v>
      </c>
      <c r="CT151" s="7" t="e">
        <f>SUMPRODUCT(AssyMatrix[[#This Row],[Assy001]:[Assy075BP]],$C$1:$CS$1)</f>
        <v>#VALUE!</v>
      </c>
    </row>
    <row r="152" spans="1:98" x14ac:dyDescent="0.3">
      <c r="A152" s="81" t="s">
        <v>504</v>
      </c>
      <c r="B152" s="81" t="s">
        <v>44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2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2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2</v>
      </c>
      <c r="AU152" s="8">
        <v>0</v>
      </c>
      <c r="AV152" s="8">
        <v>0</v>
      </c>
      <c r="AW152" s="8">
        <v>1</v>
      </c>
      <c r="AX152" s="8">
        <v>0</v>
      </c>
      <c r="AY152" s="8">
        <v>0</v>
      </c>
      <c r="AZ152" s="8">
        <v>0</v>
      </c>
      <c r="BA152" s="8">
        <v>0</v>
      </c>
      <c r="BB152" s="8">
        <v>0</v>
      </c>
      <c r="BC152" s="8">
        <v>0</v>
      </c>
      <c r="BD152" s="8">
        <v>0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0</v>
      </c>
      <c r="BL152" s="8">
        <v>0</v>
      </c>
      <c r="BM152" s="8">
        <v>0</v>
      </c>
      <c r="BN152" s="8">
        <v>0</v>
      </c>
      <c r="BO152" s="8">
        <v>0</v>
      </c>
      <c r="BP152" s="8">
        <v>1</v>
      </c>
      <c r="BQ152" s="8">
        <v>0</v>
      </c>
      <c r="BR152" s="8">
        <v>0</v>
      </c>
      <c r="BS152" s="8">
        <v>0</v>
      </c>
      <c r="BT152" s="8">
        <v>0</v>
      </c>
      <c r="BU152" s="8">
        <v>0</v>
      </c>
      <c r="BV152" s="8">
        <v>0</v>
      </c>
      <c r="BW152" s="8">
        <v>0</v>
      </c>
      <c r="BX152" s="8">
        <v>0</v>
      </c>
      <c r="BY152" s="8">
        <v>0</v>
      </c>
      <c r="BZ152" s="8">
        <v>0</v>
      </c>
      <c r="CA152" s="8">
        <v>0</v>
      </c>
      <c r="CB152" s="8">
        <v>0</v>
      </c>
      <c r="CC152" s="8">
        <v>0</v>
      </c>
      <c r="CD152" s="8">
        <v>0</v>
      </c>
      <c r="CE152" s="8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8">
        <v>0</v>
      </c>
      <c r="CL152" s="8">
        <v>0</v>
      </c>
      <c r="CM152" s="8">
        <v>0</v>
      </c>
      <c r="CN152" s="8">
        <v>0</v>
      </c>
      <c r="CO152" s="8">
        <v>0</v>
      </c>
      <c r="CP152" s="8">
        <v>0</v>
      </c>
      <c r="CQ152" s="8">
        <v>0</v>
      </c>
      <c r="CR152" s="8">
        <v>0</v>
      </c>
      <c r="CS152" s="8">
        <v>0</v>
      </c>
      <c r="CT152" s="7" t="e">
        <f>SUMPRODUCT(AssyMatrix[[#This Row],[Assy001]:[Assy075BP]],$C$1:$CS$1)</f>
        <v>#VALUE!</v>
      </c>
    </row>
    <row r="153" spans="1:98" x14ac:dyDescent="0.3">
      <c r="A153" s="81" t="s">
        <v>770</v>
      </c>
      <c r="B153" s="81" t="s">
        <v>50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2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2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2</v>
      </c>
      <c r="AU153" s="8">
        <v>0</v>
      </c>
      <c r="AV153" s="8">
        <v>0</v>
      </c>
      <c r="AW153" s="8">
        <v>1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  <c r="BM153" s="8">
        <v>0</v>
      </c>
      <c r="BN153" s="8">
        <v>0</v>
      </c>
      <c r="BO153" s="8">
        <v>0</v>
      </c>
      <c r="BP153" s="8">
        <v>1</v>
      </c>
      <c r="BQ153" s="8">
        <v>0</v>
      </c>
      <c r="BR153" s="8">
        <v>0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8">
        <v>0</v>
      </c>
      <c r="CL153" s="8">
        <v>0</v>
      </c>
      <c r="CM153" s="8">
        <v>0</v>
      </c>
      <c r="CN153" s="8">
        <v>0</v>
      </c>
      <c r="CO153" s="8">
        <v>0</v>
      </c>
      <c r="CP153" s="8">
        <v>0</v>
      </c>
      <c r="CQ153" s="8">
        <v>0</v>
      </c>
      <c r="CR153" s="8">
        <v>0</v>
      </c>
      <c r="CS153" s="8">
        <v>0</v>
      </c>
      <c r="CT153" s="7" t="e">
        <f>SUMPRODUCT(AssyMatrix[[#This Row],[Assy001]:[Assy075BP]],$C$1:$CS$1)</f>
        <v>#VALUE!</v>
      </c>
    </row>
    <row r="154" spans="1:98" x14ac:dyDescent="0.3">
      <c r="A154" s="81" t="s">
        <v>509</v>
      </c>
      <c r="B154" s="81" t="s">
        <v>46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2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2</v>
      </c>
      <c r="AU154" s="8">
        <v>0</v>
      </c>
      <c r="AV154" s="8">
        <v>0</v>
      </c>
      <c r="AW154" s="8">
        <v>1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8">
        <v>1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8">
        <v>0</v>
      </c>
      <c r="CL154" s="8">
        <v>0</v>
      </c>
      <c r="CM154" s="8">
        <v>0</v>
      </c>
      <c r="CN154" s="8">
        <v>0</v>
      </c>
      <c r="CO154" s="8">
        <v>0</v>
      </c>
      <c r="CP154" s="8">
        <v>0</v>
      </c>
      <c r="CQ154" s="8">
        <v>0</v>
      </c>
      <c r="CR154" s="8">
        <v>0</v>
      </c>
      <c r="CS154" s="8">
        <v>0</v>
      </c>
      <c r="CT154" s="7" t="e">
        <f>SUMPRODUCT(AssyMatrix[[#This Row],[Assy001]:[Assy075BP]],$C$1:$CS$1)</f>
        <v>#VALUE!</v>
      </c>
    </row>
    <row r="155" spans="1:98" x14ac:dyDescent="0.3">
      <c r="A155" s="81" t="s">
        <v>771</v>
      </c>
      <c r="B155" s="81" t="s">
        <v>50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2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2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2</v>
      </c>
      <c r="AU155" s="8">
        <v>0</v>
      </c>
      <c r="AV155" s="8">
        <v>0</v>
      </c>
      <c r="AW155" s="8">
        <v>1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8">
        <v>0</v>
      </c>
      <c r="BM155" s="8">
        <v>0</v>
      </c>
      <c r="BN155" s="8">
        <v>0</v>
      </c>
      <c r="BO155" s="8">
        <v>0</v>
      </c>
      <c r="BP155" s="8">
        <v>0</v>
      </c>
      <c r="BQ155" s="8">
        <v>1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8">
        <v>0</v>
      </c>
      <c r="CL155" s="8">
        <v>0</v>
      </c>
      <c r="CM155" s="8">
        <v>0</v>
      </c>
      <c r="CN155" s="8">
        <v>0</v>
      </c>
      <c r="CO155" s="8">
        <v>0</v>
      </c>
      <c r="CP155" s="8">
        <v>0</v>
      </c>
      <c r="CQ155" s="8">
        <v>0</v>
      </c>
      <c r="CR155" s="8">
        <v>0</v>
      </c>
      <c r="CS155" s="8">
        <v>0</v>
      </c>
      <c r="CT155" s="7" t="e">
        <f>SUMPRODUCT(AssyMatrix[[#This Row],[Assy001]:[Assy075BP]],$C$1:$CS$1)</f>
        <v>#VALUE!</v>
      </c>
    </row>
    <row r="156" spans="1:98" x14ac:dyDescent="0.3">
      <c r="A156" s="81" t="s">
        <v>505</v>
      </c>
      <c r="B156" s="81" t="s">
        <v>47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2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2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2</v>
      </c>
      <c r="AV156" s="8">
        <v>0</v>
      </c>
      <c r="AW156" s="8">
        <v>0</v>
      </c>
      <c r="AX156" s="8">
        <v>0</v>
      </c>
      <c r="AY156" s="8">
        <v>0</v>
      </c>
      <c r="AZ156" s="8">
        <v>1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8">
        <v>0</v>
      </c>
      <c r="BM156" s="8">
        <v>0</v>
      </c>
      <c r="BN156" s="8">
        <v>0</v>
      </c>
      <c r="BO156" s="8">
        <v>0</v>
      </c>
      <c r="BP156" s="8">
        <v>0</v>
      </c>
      <c r="BQ156" s="8">
        <v>1</v>
      </c>
      <c r="BR156" s="8">
        <v>0</v>
      </c>
      <c r="BS156" s="8">
        <v>0</v>
      </c>
      <c r="BT156" s="8">
        <v>0</v>
      </c>
      <c r="BU156" s="8">
        <v>0</v>
      </c>
      <c r="BV156" s="8">
        <v>0</v>
      </c>
      <c r="BW156" s="8">
        <v>0</v>
      </c>
      <c r="BX156" s="8">
        <v>0</v>
      </c>
      <c r="BY156" s="8">
        <v>0</v>
      </c>
      <c r="BZ156" s="8">
        <v>0</v>
      </c>
      <c r="CA156" s="8">
        <v>0</v>
      </c>
      <c r="CB156" s="8">
        <v>0</v>
      </c>
      <c r="CC156" s="8">
        <v>0</v>
      </c>
      <c r="CD156" s="8">
        <v>0</v>
      </c>
      <c r="CE156" s="8">
        <v>0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8">
        <v>0</v>
      </c>
      <c r="CN156" s="8">
        <v>0</v>
      </c>
      <c r="CO156" s="8">
        <v>0</v>
      </c>
      <c r="CP156" s="8">
        <v>0</v>
      </c>
      <c r="CQ156" s="8">
        <v>0</v>
      </c>
      <c r="CR156" s="8">
        <v>0</v>
      </c>
      <c r="CS156" s="8">
        <v>0</v>
      </c>
      <c r="CT156" s="7" t="e">
        <f>SUMPRODUCT(AssyMatrix[[#This Row],[Assy001]:[Assy075BP]],$C$1:$CS$1)</f>
        <v>#VALUE!</v>
      </c>
    </row>
    <row r="157" spans="1:98" x14ac:dyDescent="0.3">
      <c r="A157" s="81" t="s">
        <v>772</v>
      </c>
      <c r="B157" s="81" t="s">
        <v>53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2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2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2</v>
      </c>
      <c r="AV157" s="8">
        <v>0</v>
      </c>
      <c r="AW157" s="8">
        <v>0</v>
      </c>
      <c r="AX157" s="8">
        <v>0</v>
      </c>
      <c r="AY157" s="8">
        <v>0</v>
      </c>
      <c r="AZ157" s="8">
        <v>1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  <c r="BN157" s="8">
        <v>0</v>
      </c>
      <c r="BO157" s="8">
        <v>0</v>
      </c>
      <c r="BP157" s="8">
        <v>0</v>
      </c>
      <c r="BQ157" s="8">
        <v>1</v>
      </c>
      <c r="BR157" s="8">
        <v>0</v>
      </c>
      <c r="BS157" s="8">
        <v>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8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8">
        <v>0</v>
      </c>
      <c r="CN157" s="8">
        <v>0</v>
      </c>
      <c r="CO157" s="8">
        <v>0</v>
      </c>
      <c r="CP157" s="8">
        <v>0</v>
      </c>
      <c r="CQ157" s="8">
        <v>0</v>
      </c>
      <c r="CR157" s="8">
        <v>0</v>
      </c>
      <c r="CS157" s="8">
        <v>0</v>
      </c>
      <c r="CT157" s="7" t="e">
        <f>SUMPRODUCT(AssyMatrix[[#This Row],[Assy001]:[Assy075BP]],$C$1:$CS$1)</f>
        <v>#VALUE!</v>
      </c>
    </row>
    <row r="158" spans="1:98" x14ac:dyDescent="0.3">
      <c r="A158" s="81" t="s">
        <v>507</v>
      </c>
      <c r="B158" s="81" t="s">
        <v>265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2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2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2</v>
      </c>
      <c r="AV158" s="8">
        <v>0</v>
      </c>
      <c r="AW158" s="8">
        <v>0</v>
      </c>
      <c r="AX158" s="8">
        <v>0</v>
      </c>
      <c r="AY158" s="8">
        <v>0</v>
      </c>
      <c r="AZ158" s="8">
        <v>1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0</v>
      </c>
      <c r="BJ158" s="8">
        <v>0</v>
      </c>
      <c r="BK158" s="8">
        <v>0</v>
      </c>
      <c r="BL158" s="8">
        <v>0</v>
      </c>
      <c r="BM158" s="8">
        <v>0</v>
      </c>
      <c r="BN158" s="8">
        <v>0</v>
      </c>
      <c r="BO158" s="8">
        <v>0</v>
      </c>
      <c r="BP158" s="8">
        <v>0</v>
      </c>
      <c r="BQ158" s="8">
        <v>0</v>
      </c>
      <c r="BR158" s="8">
        <v>1</v>
      </c>
      <c r="BS158" s="8">
        <v>0</v>
      </c>
      <c r="BT158" s="8">
        <v>0</v>
      </c>
      <c r="BU158" s="8">
        <v>0</v>
      </c>
      <c r="BV158" s="8">
        <v>0</v>
      </c>
      <c r="BW158" s="8">
        <v>0</v>
      </c>
      <c r="BX158" s="8">
        <v>0</v>
      </c>
      <c r="BY158" s="8">
        <v>0</v>
      </c>
      <c r="BZ158" s="8">
        <v>0</v>
      </c>
      <c r="CA158" s="8">
        <v>0</v>
      </c>
      <c r="CB158" s="8">
        <v>0</v>
      </c>
      <c r="CC158" s="8">
        <v>0</v>
      </c>
      <c r="CD158" s="8">
        <v>0</v>
      </c>
      <c r="CE158" s="8">
        <v>0</v>
      </c>
      <c r="CF158" s="8">
        <v>0</v>
      </c>
      <c r="CG158" s="8">
        <v>0</v>
      </c>
      <c r="CH158" s="8">
        <v>0</v>
      </c>
      <c r="CI158" s="8">
        <v>0</v>
      </c>
      <c r="CJ158" s="8">
        <v>0</v>
      </c>
      <c r="CK158" s="8">
        <v>0</v>
      </c>
      <c r="CL158" s="8">
        <v>0</v>
      </c>
      <c r="CM158" s="8">
        <v>0</v>
      </c>
      <c r="CN158" s="8">
        <v>0</v>
      </c>
      <c r="CO158" s="8">
        <v>0</v>
      </c>
      <c r="CP158" s="8">
        <v>0</v>
      </c>
      <c r="CQ158" s="8">
        <v>0</v>
      </c>
      <c r="CR158" s="8">
        <v>0</v>
      </c>
      <c r="CS158" s="8">
        <v>0</v>
      </c>
      <c r="CT158" s="7" t="e">
        <f>SUMPRODUCT(AssyMatrix[[#This Row],[Assy001]:[Assy075BP]],$C$1:$CS$1)</f>
        <v>#VALUE!</v>
      </c>
    </row>
    <row r="159" spans="1:98" x14ac:dyDescent="0.3">
      <c r="A159" s="81" t="s">
        <v>773</v>
      </c>
      <c r="B159" s="81" t="s">
        <v>269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2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2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2</v>
      </c>
      <c r="AV159" s="8">
        <v>0</v>
      </c>
      <c r="AW159" s="8">
        <v>0</v>
      </c>
      <c r="AX159" s="8">
        <v>0</v>
      </c>
      <c r="AY159" s="8">
        <v>0</v>
      </c>
      <c r="AZ159" s="8">
        <v>1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0</v>
      </c>
      <c r="BL159" s="8">
        <v>0</v>
      </c>
      <c r="BM159" s="8">
        <v>0</v>
      </c>
      <c r="BN159" s="8">
        <v>0</v>
      </c>
      <c r="BO159" s="8">
        <v>0</v>
      </c>
      <c r="BP159" s="8">
        <v>0</v>
      </c>
      <c r="BQ159" s="8">
        <v>0</v>
      </c>
      <c r="BR159" s="8">
        <v>1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8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8">
        <v>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8">
        <v>0</v>
      </c>
      <c r="CL159" s="8">
        <v>0</v>
      </c>
      <c r="CM159" s="8">
        <v>0</v>
      </c>
      <c r="CN159" s="8">
        <v>0</v>
      </c>
      <c r="CO159" s="8">
        <v>0</v>
      </c>
      <c r="CP159" s="8">
        <v>0</v>
      </c>
      <c r="CQ159" s="8">
        <v>0</v>
      </c>
      <c r="CR159" s="8">
        <v>0</v>
      </c>
      <c r="CS159" s="8">
        <v>0</v>
      </c>
      <c r="CT159" s="7" t="e">
        <f>SUMPRODUCT(AssyMatrix[[#This Row],[Assy001]:[Assy075BP]],$C$1:$CS$1)</f>
        <v>#VALUE!</v>
      </c>
    </row>
    <row r="160" spans="1:98" x14ac:dyDescent="0.3">
      <c r="A160" s="81" t="s">
        <v>506</v>
      </c>
      <c r="B160" s="81" t="s">
        <v>48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2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2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2</v>
      </c>
      <c r="AV160" s="8">
        <v>0</v>
      </c>
      <c r="AW160" s="8">
        <v>1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  <c r="BN160" s="8">
        <v>0</v>
      </c>
      <c r="BO160" s="8">
        <v>0</v>
      </c>
      <c r="BP160" s="8">
        <v>0</v>
      </c>
      <c r="BQ160" s="8">
        <v>1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8">
        <v>0</v>
      </c>
      <c r="CL160" s="8">
        <v>0</v>
      </c>
      <c r="CM160" s="8">
        <v>0</v>
      </c>
      <c r="CN160" s="8">
        <v>0</v>
      </c>
      <c r="CO160" s="8">
        <v>0</v>
      </c>
      <c r="CP160" s="8">
        <v>0</v>
      </c>
      <c r="CQ160" s="8">
        <v>0</v>
      </c>
      <c r="CR160" s="8">
        <v>0</v>
      </c>
      <c r="CS160" s="8">
        <v>0</v>
      </c>
      <c r="CT160" s="7" t="e">
        <f>SUMPRODUCT(AssyMatrix[[#This Row],[Assy001]:[Assy075BP]],$C$1:$CS$1)</f>
        <v>#VALUE!</v>
      </c>
    </row>
    <row r="161" spans="1:98" x14ac:dyDescent="0.3">
      <c r="A161" s="81" t="s">
        <v>774</v>
      </c>
      <c r="B161" s="81" t="s">
        <v>54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2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2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2</v>
      </c>
      <c r="AV161" s="8">
        <v>0</v>
      </c>
      <c r="AW161" s="8">
        <v>1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8">
        <v>0</v>
      </c>
      <c r="BM161" s="8">
        <v>0</v>
      </c>
      <c r="BN161" s="8">
        <v>0</v>
      </c>
      <c r="BO161" s="8">
        <v>0</v>
      </c>
      <c r="BP161" s="8">
        <v>0</v>
      </c>
      <c r="BQ161" s="8">
        <v>1</v>
      </c>
      <c r="BR161" s="8">
        <v>0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M161" s="8">
        <v>0</v>
      </c>
      <c r="CN161" s="8">
        <v>0</v>
      </c>
      <c r="CO161" s="8">
        <v>0</v>
      </c>
      <c r="CP161" s="8">
        <v>0</v>
      </c>
      <c r="CQ161" s="8">
        <v>0</v>
      </c>
      <c r="CR161" s="8">
        <v>0</v>
      </c>
      <c r="CS161" s="8">
        <v>0</v>
      </c>
      <c r="CT161" s="7" t="e">
        <f>SUMPRODUCT(AssyMatrix[[#This Row],[Assy001]:[Assy075BP]],$C$1:$CS$1)</f>
        <v>#VALUE!</v>
      </c>
    </row>
    <row r="162" spans="1:98" x14ac:dyDescent="0.3">
      <c r="A162" s="81" t="s">
        <v>510</v>
      </c>
      <c r="B162" s="81" t="s">
        <v>270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2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2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2</v>
      </c>
      <c r="AV162" s="8">
        <v>0</v>
      </c>
      <c r="AW162" s="8">
        <v>1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>
        <v>0</v>
      </c>
      <c r="BM162" s="8">
        <v>0</v>
      </c>
      <c r="BN162" s="8">
        <v>0</v>
      </c>
      <c r="BO162" s="8">
        <v>0</v>
      </c>
      <c r="BP162" s="8">
        <v>0</v>
      </c>
      <c r="BQ162" s="8">
        <v>0</v>
      </c>
      <c r="BR162" s="8">
        <v>1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8">
        <v>0</v>
      </c>
      <c r="CN162" s="8">
        <v>0</v>
      </c>
      <c r="CO162" s="8">
        <v>0</v>
      </c>
      <c r="CP162" s="8">
        <v>0</v>
      </c>
      <c r="CQ162" s="8">
        <v>0</v>
      </c>
      <c r="CR162" s="8">
        <v>0</v>
      </c>
      <c r="CS162" s="8">
        <v>0</v>
      </c>
      <c r="CT162" s="7" t="e">
        <f>SUMPRODUCT(AssyMatrix[[#This Row],[Assy001]:[Assy075BP]],$C$1:$CS$1)</f>
        <v>#VALUE!</v>
      </c>
    </row>
    <row r="163" spans="1:98" x14ac:dyDescent="0.3">
      <c r="A163" s="81" t="s">
        <v>775</v>
      </c>
      <c r="B163" s="81" t="s">
        <v>268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2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2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2</v>
      </c>
      <c r="AV163" s="8">
        <v>0</v>
      </c>
      <c r="AW163" s="8">
        <v>1</v>
      </c>
      <c r="AX163" s="8">
        <v>0</v>
      </c>
      <c r="AY163" s="8">
        <v>0</v>
      </c>
      <c r="AZ163" s="8">
        <v>0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  <c r="BN163" s="8">
        <v>0</v>
      </c>
      <c r="BO163" s="8">
        <v>0</v>
      </c>
      <c r="BP163" s="8">
        <v>0</v>
      </c>
      <c r="BQ163" s="8">
        <v>0</v>
      </c>
      <c r="BR163" s="8">
        <v>1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>
        <v>0</v>
      </c>
      <c r="CA163" s="8">
        <v>0</v>
      </c>
      <c r="CB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7" t="e">
        <f>SUMPRODUCT(AssyMatrix[[#This Row],[Assy001]:[Assy075BP]],$C$1:$CS$1)</f>
        <v>#VALUE!</v>
      </c>
    </row>
    <row r="164" spans="1:98" x14ac:dyDescent="0.3">
      <c r="A164" s="81" t="s">
        <v>511</v>
      </c>
      <c r="B164" s="81" t="s">
        <v>64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1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1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8">
        <v>0</v>
      </c>
      <c r="AR164" s="8">
        <v>1</v>
      </c>
      <c r="AS164" s="8">
        <v>0</v>
      </c>
      <c r="AT164" s="8">
        <v>1</v>
      </c>
      <c r="AU164" s="8">
        <v>0</v>
      </c>
      <c r="AV164" s="8">
        <v>0</v>
      </c>
      <c r="AW164" s="8">
        <v>0</v>
      </c>
      <c r="AX164" s="8">
        <v>0</v>
      </c>
      <c r="AY164" s="8">
        <v>0</v>
      </c>
      <c r="AZ164" s="8">
        <v>0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8">
        <v>0</v>
      </c>
      <c r="BR164" s="8">
        <v>0</v>
      </c>
      <c r="BS164" s="8">
        <v>1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0</v>
      </c>
      <c r="CI164" s="8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8">
        <v>0</v>
      </c>
      <c r="CP164" s="8">
        <v>0</v>
      </c>
      <c r="CQ164" s="8">
        <v>0</v>
      </c>
      <c r="CR164" s="8">
        <v>0</v>
      </c>
      <c r="CS164" s="8">
        <v>0</v>
      </c>
      <c r="CT164" s="7" t="e">
        <f>SUMPRODUCT(AssyMatrix[[#This Row],[Assy001]:[Assy075BP]],$C$1:$CS$1)</f>
        <v>#VALUE!</v>
      </c>
    </row>
    <row r="165" spans="1:98" x14ac:dyDescent="0.3">
      <c r="A165" s="81" t="s">
        <v>776</v>
      </c>
      <c r="B165" s="81" t="s">
        <v>70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1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1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1</v>
      </c>
      <c r="AS165" s="8">
        <v>0</v>
      </c>
      <c r="AT165" s="8">
        <v>1</v>
      </c>
      <c r="AU165" s="8">
        <v>0</v>
      </c>
      <c r="AV165" s="8">
        <v>0</v>
      </c>
      <c r="AW165" s="8">
        <v>0</v>
      </c>
      <c r="AX165" s="8">
        <v>0</v>
      </c>
      <c r="AY165" s="8">
        <v>0</v>
      </c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  <c r="BN165" s="8">
        <v>0</v>
      </c>
      <c r="BO165" s="8">
        <v>0</v>
      </c>
      <c r="BP165" s="8">
        <v>0</v>
      </c>
      <c r="BQ165" s="8">
        <v>0</v>
      </c>
      <c r="BR165" s="8">
        <v>0</v>
      </c>
      <c r="BS165" s="8">
        <v>1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8">
        <v>0</v>
      </c>
      <c r="CN165" s="8">
        <v>0</v>
      </c>
      <c r="CO165" s="8">
        <v>0</v>
      </c>
      <c r="CP165" s="8">
        <v>0</v>
      </c>
      <c r="CQ165" s="8">
        <v>0</v>
      </c>
      <c r="CR165" s="8">
        <v>0</v>
      </c>
      <c r="CS165" s="8">
        <v>0</v>
      </c>
      <c r="CT165" s="7" t="e">
        <f>SUMPRODUCT(AssyMatrix[[#This Row],[Assy001]:[Assy075BP]],$C$1:$CS$1)</f>
        <v>#VALUE!</v>
      </c>
    </row>
    <row r="166" spans="1:98" x14ac:dyDescent="0.3">
      <c r="A166" s="81" t="s">
        <v>512</v>
      </c>
      <c r="B166" s="81" t="s">
        <v>65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1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1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1</v>
      </c>
      <c r="AS166" s="8">
        <v>0</v>
      </c>
      <c r="AT166" s="8">
        <v>1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  <c r="BN166" s="8">
        <v>0</v>
      </c>
      <c r="BO166" s="8">
        <v>0</v>
      </c>
      <c r="BP166" s="8">
        <v>0</v>
      </c>
      <c r="BQ166" s="8">
        <v>0</v>
      </c>
      <c r="BR166" s="8">
        <v>0</v>
      </c>
      <c r="BS166" s="8">
        <v>0</v>
      </c>
      <c r="BT166" s="8">
        <v>1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8">
        <v>0</v>
      </c>
      <c r="CL166" s="8">
        <v>0</v>
      </c>
      <c r="CM166" s="8">
        <v>0</v>
      </c>
      <c r="CN166" s="8">
        <v>0</v>
      </c>
      <c r="CO166" s="8">
        <v>0</v>
      </c>
      <c r="CP166" s="8">
        <v>0</v>
      </c>
      <c r="CQ166" s="8">
        <v>0</v>
      </c>
      <c r="CR166" s="8">
        <v>0</v>
      </c>
      <c r="CS166" s="8">
        <v>0</v>
      </c>
      <c r="CT166" s="7" t="e">
        <f>SUMPRODUCT(AssyMatrix[[#This Row],[Assy001]:[Assy075BP]],$C$1:$CS$1)</f>
        <v>#VALUE!</v>
      </c>
    </row>
    <row r="167" spans="1:98" x14ac:dyDescent="0.3">
      <c r="A167" s="81" t="s">
        <v>777</v>
      </c>
      <c r="B167" s="81" t="s">
        <v>71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1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1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1</v>
      </c>
      <c r="AS167" s="8">
        <v>0</v>
      </c>
      <c r="AT167" s="8">
        <v>1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0</v>
      </c>
      <c r="BS167" s="8">
        <v>0</v>
      </c>
      <c r="BT167" s="8">
        <v>1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8">
        <v>0</v>
      </c>
      <c r="CP167" s="8">
        <v>0</v>
      </c>
      <c r="CQ167" s="8">
        <v>0</v>
      </c>
      <c r="CR167" s="8">
        <v>0</v>
      </c>
      <c r="CS167" s="8">
        <v>0</v>
      </c>
      <c r="CT167" s="7" t="e">
        <f>SUMPRODUCT(AssyMatrix[[#This Row],[Assy001]:[Assy075BP]],$C$1:$CS$1)</f>
        <v>#VALUE!</v>
      </c>
    </row>
    <row r="168" spans="1:98" x14ac:dyDescent="0.3">
      <c r="A168" s="81" t="s">
        <v>513</v>
      </c>
      <c r="B168" s="81" t="s">
        <v>66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1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1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8">
        <v>1</v>
      </c>
      <c r="AR168" s="8">
        <v>0</v>
      </c>
      <c r="AS168" s="8">
        <v>0</v>
      </c>
      <c r="AT168" s="8">
        <v>1</v>
      </c>
      <c r="AU168" s="8">
        <v>0</v>
      </c>
      <c r="AV168" s="8">
        <v>0</v>
      </c>
      <c r="AW168" s="8">
        <v>0</v>
      </c>
      <c r="AX168" s="8">
        <v>0</v>
      </c>
      <c r="AY168" s="8">
        <v>0</v>
      </c>
      <c r="AZ168" s="8">
        <v>0</v>
      </c>
      <c r="BA168" s="8"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0</v>
      </c>
      <c r="BJ168" s="8">
        <v>0</v>
      </c>
      <c r="BK168" s="8">
        <v>0</v>
      </c>
      <c r="BL168" s="8">
        <v>0</v>
      </c>
      <c r="BM168" s="8">
        <v>0</v>
      </c>
      <c r="BN168" s="8">
        <v>0</v>
      </c>
      <c r="BO168" s="8">
        <v>0</v>
      </c>
      <c r="BP168" s="8">
        <v>0</v>
      </c>
      <c r="BQ168" s="8">
        <v>0</v>
      </c>
      <c r="BR168" s="8">
        <v>0</v>
      </c>
      <c r="BS168" s="8">
        <v>1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8">
        <v>0</v>
      </c>
      <c r="CP168" s="8">
        <v>0</v>
      </c>
      <c r="CQ168" s="8">
        <v>0</v>
      </c>
      <c r="CR168" s="8">
        <v>0</v>
      </c>
      <c r="CS168" s="8">
        <v>0</v>
      </c>
      <c r="CT168" s="7" t="e">
        <f>SUMPRODUCT(AssyMatrix[[#This Row],[Assy001]:[Assy075BP]],$C$1:$CS$1)</f>
        <v>#VALUE!</v>
      </c>
    </row>
    <row r="169" spans="1:98" x14ac:dyDescent="0.3">
      <c r="A169" s="81" t="s">
        <v>778</v>
      </c>
      <c r="B169" s="81" t="s">
        <v>72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1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1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1</v>
      </c>
      <c r="AR169" s="8">
        <v>0</v>
      </c>
      <c r="AS169" s="8">
        <v>0</v>
      </c>
      <c r="AT169" s="8">
        <v>1</v>
      </c>
      <c r="AU169" s="8">
        <v>0</v>
      </c>
      <c r="AV169" s="8">
        <v>0</v>
      </c>
      <c r="AW169" s="8">
        <v>0</v>
      </c>
      <c r="AX169" s="8">
        <v>0</v>
      </c>
      <c r="AY169" s="8">
        <v>0</v>
      </c>
      <c r="AZ169" s="8">
        <v>0</v>
      </c>
      <c r="BA169" s="8">
        <v>0</v>
      </c>
      <c r="BB169" s="8">
        <v>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8">
        <v>0</v>
      </c>
      <c r="BL169" s="8">
        <v>0</v>
      </c>
      <c r="BM169" s="8">
        <v>0</v>
      </c>
      <c r="BN169" s="8">
        <v>0</v>
      </c>
      <c r="BO169" s="8">
        <v>0</v>
      </c>
      <c r="BP169" s="8">
        <v>0</v>
      </c>
      <c r="BQ169" s="8">
        <v>0</v>
      </c>
      <c r="BR169" s="8">
        <v>0</v>
      </c>
      <c r="BS169" s="8">
        <v>1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8">
        <v>0</v>
      </c>
      <c r="BZ169" s="8">
        <v>0</v>
      </c>
      <c r="CA169" s="8">
        <v>0</v>
      </c>
      <c r="CB169" s="8">
        <v>0</v>
      </c>
      <c r="CC169" s="8">
        <v>0</v>
      </c>
      <c r="CD169" s="8">
        <v>0</v>
      </c>
      <c r="CE169" s="8">
        <v>0</v>
      </c>
      <c r="CF169" s="8">
        <v>0</v>
      </c>
      <c r="CG169" s="8">
        <v>0</v>
      </c>
      <c r="CH169" s="8">
        <v>0</v>
      </c>
      <c r="CI169" s="8">
        <v>0</v>
      </c>
      <c r="CJ169" s="8">
        <v>0</v>
      </c>
      <c r="CK169" s="8">
        <v>0</v>
      </c>
      <c r="CL169" s="8">
        <v>0</v>
      </c>
      <c r="CM169" s="8">
        <v>0</v>
      </c>
      <c r="CN169" s="8">
        <v>0</v>
      </c>
      <c r="CO169" s="8">
        <v>0</v>
      </c>
      <c r="CP169" s="8">
        <v>0</v>
      </c>
      <c r="CQ169" s="8">
        <v>0</v>
      </c>
      <c r="CR169" s="8">
        <v>0</v>
      </c>
      <c r="CS169" s="8">
        <v>0</v>
      </c>
      <c r="CT169" s="7" t="e">
        <f>SUMPRODUCT(AssyMatrix[[#This Row],[Assy001]:[Assy075BP]],$C$1:$CS$1)</f>
        <v>#VALUE!</v>
      </c>
    </row>
    <row r="170" spans="1:98" x14ac:dyDescent="0.3">
      <c r="A170" s="81" t="s">
        <v>514</v>
      </c>
      <c r="B170" s="81" t="s">
        <v>67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1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1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1</v>
      </c>
      <c r="AR170" s="8">
        <v>0</v>
      </c>
      <c r="AS170" s="8">
        <v>0</v>
      </c>
      <c r="AT170" s="8">
        <v>1</v>
      </c>
      <c r="AU170" s="8">
        <v>0</v>
      </c>
      <c r="AV170" s="8">
        <v>0</v>
      </c>
      <c r="AW170" s="8">
        <v>0</v>
      </c>
      <c r="AX170" s="8">
        <v>0</v>
      </c>
      <c r="AY170" s="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8">
        <v>0</v>
      </c>
      <c r="BL170" s="8">
        <v>0</v>
      </c>
      <c r="BM170" s="8">
        <v>0</v>
      </c>
      <c r="BN170" s="8">
        <v>0</v>
      </c>
      <c r="BO170" s="8">
        <v>0</v>
      </c>
      <c r="BP170" s="8">
        <v>0</v>
      </c>
      <c r="BQ170" s="8">
        <v>0</v>
      </c>
      <c r="BR170" s="8">
        <v>0</v>
      </c>
      <c r="BS170" s="8">
        <v>0</v>
      </c>
      <c r="BT170" s="8">
        <v>1</v>
      </c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8">
        <v>0</v>
      </c>
      <c r="CL170" s="8">
        <v>0</v>
      </c>
      <c r="CM170" s="8">
        <v>0</v>
      </c>
      <c r="CN170" s="8">
        <v>0</v>
      </c>
      <c r="CO170" s="8">
        <v>0</v>
      </c>
      <c r="CP170" s="8">
        <v>0</v>
      </c>
      <c r="CQ170" s="8">
        <v>0</v>
      </c>
      <c r="CR170" s="8">
        <v>0</v>
      </c>
      <c r="CS170" s="8">
        <v>0</v>
      </c>
      <c r="CT170" s="7" t="e">
        <f>SUMPRODUCT(AssyMatrix[[#This Row],[Assy001]:[Assy075BP]],$C$1:$CS$1)</f>
        <v>#VALUE!</v>
      </c>
    </row>
    <row r="171" spans="1:98" x14ac:dyDescent="0.3">
      <c r="A171" s="81" t="s">
        <v>779</v>
      </c>
      <c r="B171" s="81" t="s">
        <v>73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1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1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1</v>
      </c>
      <c r="AR171" s="8">
        <v>0</v>
      </c>
      <c r="AS171" s="8">
        <v>0</v>
      </c>
      <c r="AT171" s="8">
        <v>1</v>
      </c>
      <c r="AU171" s="8">
        <v>0</v>
      </c>
      <c r="AV171" s="8">
        <v>0</v>
      </c>
      <c r="AW171" s="8">
        <v>0</v>
      </c>
      <c r="AX171" s="8">
        <v>0</v>
      </c>
      <c r="AY171" s="8">
        <v>0</v>
      </c>
      <c r="AZ171" s="8">
        <v>0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8">
        <v>0</v>
      </c>
      <c r="BM171" s="8">
        <v>0</v>
      </c>
      <c r="BN171" s="8">
        <v>0</v>
      </c>
      <c r="BO171" s="8">
        <v>0</v>
      </c>
      <c r="BP171" s="8">
        <v>0</v>
      </c>
      <c r="BQ171" s="8">
        <v>0</v>
      </c>
      <c r="BR171" s="8">
        <v>0</v>
      </c>
      <c r="BS171" s="8">
        <v>0</v>
      </c>
      <c r="BT171" s="8">
        <v>1</v>
      </c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8">
        <v>0</v>
      </c>
      <c r="CF171" s="8">
        <v>0</v>
      </c>
      <c r="CG171" s="8">
        <v>0</v>
      </c>
      <c r="CH171" s="8">
        <v>0</v>
      </c>
      <c r="CI171" s="8">
        <v>0</v>
      </c>
      <c r="CJ171" s="8">
        <v>0</v>
      </c>
      <c r="CK171" s="8">
        <v>0</v>
      </c>
      <c r="CL171" s="8">
        <v>0</v>
      </c>
      <c r="CM171" s="8">
        <v>0</v>
      </c>
      <c r="CN171" s="8">
        <v>0</v>
      </c>
      <c r="CO171" s="8">
        <v>0</v>
      </c>
      <c r="CP171" s="8">
        <v>0</v>
      </c>
      <c r="CQ171" s="8">
        <v>0</v>
      </c>
      <c r="CR171" s="8">
        <v>0</v>
      </c>
      <c r="CS171" s="8">
        <v>0</v>
      </c>
      <c r="CT171" s="7" t="e">
        <f>SUMPRODUCT(AssyMatrix[[#This Row],[Assy001]:[Assy075BP]],$C$1:$CS$1)</f>
        <v>#VALUE!</v>
      </c>
    </row>
    <row r="172" spans="1:98" x14ac:dyDescent="0.3">
      <c r="A172" s="81" t="s">
        <v>515</v>
      </c>
      <c r="B172" s="81" t="s">
        <v>69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1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1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1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0</v>
      </c>
      <c r="BK172" s="8">
        <v>0</v>
      </c>
      <c r="BL172" s="8">
        <v>0</v>
      </c>
      <c r="BM172" s="8">
        <v>0</v>
      </c>
      <c r="BN172" s="8">
        <v>0</v>
      </c>
      <c r="BO172" s="8">
        <v>0</v>
      </c>
      <c r="BP172" s="8">
        <v>0</v>
      </c>
      <c r="BQ172" s="8">
        <v>0</v>
      </c>
      <c r="BR172" s="8">
        <v>0</v>
      </c>
      <c r="BS172" s="8">
        <v>0</v>
      </c>
      <c r="BT172" s="8">
        <v>1</v>
      </c>
      <c r="BU172" s="8">
        <v>0</v>
      </c>
      <c r="BV172" s="8">
        <v>0</v>
      </c>
      <c r="BW172" s="8">
        <v>0</v>
      </c>
      <c r="BX172" s="8">
        <v>0</v>
      </c>
      <c r="BY172" s="8">
        <v>0</v>
      </c>
      <c r="BZ172" s="8">
        <v>0</v>
      </c>
      <c r="CA172" s="8">
        <v>0</v>
      </c>
      <c r="CB172" s="8">
        <v>0</v>
      </c>
      <c r="CC172" s="8">
        <v>0</v>
      </c>
      <c r="CD172" s="8">
        <v>0</v>
      </c>
      <c r="CE172" s="8">
        <v>0</v>
      </c>
      <c r="CF172" s="8">
        <v>0</v>
      </c>
      <c r="CG172" s="8">
        <v>0</v>
      </c>
      <c r="CH172" s="8">
        <v>0</v>
      </c>
      <c r="CI172" s="8">
        <v>0</v>
      </c>
      <c r="CJ172" s="8">
        <v>0</v>
      </c>
      <c r="CK172" s="8">
        <v>0</v>
      </c>
      <c r="CL172" s="8">
        <v>0</v>
      </c>
      <c r="CM172" s="8">
        <v>0</v>
      </c>
      <c r="CN172" s="8">
        <v>0</v>
      </c>
      <c r="CO172" s="8">
        <v>0</v>
      </c>
      <c r="CP172" s="8">
        <v>0</v>
      </c>
      <c r="CQ172" s="8">
        <v>0</v>
      </c>
      <c r="CR172" s="8">
        <v>0</v>
      </c>
      <c r="CS172" s="8">
        <v>0</v>
      </c>
      <c r="CT172" s="7" t="e">
        <f>SUMPRODUCT(AssyMatrix[[#This Row],[Assy001]:[Assy075BP]],$C$1:$CS$1)</f>
        <v>#VALUE!</v>
      </c>
    </row>
    <row r="173" spans="1:98" x14ac:dyDescent="0.3">
      <c r="A173" s="81" t="s">
        <v>780</v>
      </c>
      <c r="B173" s="81" t="s">
        <v>74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1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1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1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1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0</v>
      </c>
      <c r="BK173" s="8">
        <v>0</v>
      </c>
      <c r="BL173" s="8">
        <v>0</v>
      </c>
      <c r="BM173" s="8">
        <v>0</v>
      </c>
      <c r="BN173" s="8">
        <v>0</v>
      </c>
      <c r="BO173" s="8">
        <v>0</v>
      </c>
      <c r="BP173" s="8">
        <v>0</v>
      </c>
      <c r="BQ173" s="8">
        <v>0</v>
      </c>
      <c r="BR173" s="8">
        <v>0</v>
      </c>
      <c r="BS173" s="8">
        <v>0</v>
      </c>
      <c r="BT173" s="8">
        <v>1</v>
      </c>
      <c r="BU173" s="8">
        <v>0</v>
      </c>
      <c r="BV173" s="8">
        <v>0</v>
      </c>
      <c r="BW173" s="8">
        <v>0</v>
      </c>
      <c r="BX173" s="8">
        <v>0</v>
      </c>
      <c r="BY173" s="8">
        <v>0</v>
      </c>
      <c r="BZ173" s="8">
        <v>0</v>
      </c>
      <c r="CA173" s="8">
        <v>0</v>
      </c>
      <c r="CB173" s="8">
        <v>0</v>
      </c>
      <c r="CC173" s="8">
        <v>0</v>
      </c>
      <c r="CD173" s="8">
        <v>0</v>
      </c>
      <c r="CE173" s="8">
        <v>0</v>
      </c>
      <c r="CF173" s="8">
        <v>0</v>
      </c>
      <c r="CG173" s="8">
        <v>0</v>
      </c>
      <c r="CH173" s="8">
        <v>0</v>
      </c>
      <c r="CI173" s="8">
        <v>0</v>
      </c>
      <c r="CJ173" s="8">
        <v>0</v>
      </c>
      <c r="CK173" s="8">
        <v>0</v>
      </c>
      <c r="CL173" s="8">
        <v>0</v>
      </c>
      <c r="CM173" s="8">
        <v>0</v>
      </c>
      <c r="CN173" s="8">
        <v>0</v>
      </c>
      <c r="CO173" s="8">
        <v>0</v>
      </c>
      <c r="CP173" s="8">
        <v>0</v>
      </c>
      <c r="CQ173" s="8">
        <v>0</v>
      </c>
      <c r="CR173" s="8">
        <v>0</v>
      </c>
      <c r="CS173" s="8">
        <v>0</v>
      </c>
      <c r="CT173" s="7" t="e">
        <f>SUMPRODUCT(AssyMatrix[[#This Row],[Assy001]:[Assy075BP]],$C$1:$CS$1)</f>
        <v>#VALUE!</v>
      </c>
    </row>
    <row r="174" spans="1:98" x14ac:dyDescent="0.3">
      <c r="A174" s="81" t="s">
        <v>516</v>
      </c>
      <c r="B174" s="81" t="s">
        <v>266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1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1</v>
      </c>
      <c r="AV174" s="8">
        <v>0</v>
      </c>
      <c r="AW174" s="8">
        <v>0</v>
      </c>
      <c r="AX174" s="8">
        <v>0</v>
      </c>
      <c r="AY174" s="8">
        <v>0</v>
      </c>
      <c r="AZ174" s="8">
        <v>0</v>
      </c>
      <c r="BA174" s="8">
        <v>1</v>
      </c>
      <c r="BB174" s="8">
        <v>0</v>
      </c>
      <c r="BC174" s="8">
        <v>0</v>
      </c>
      <c r="BD174" s="8">
        <v>0</v>
      </c>
      <c r="BE174" s="8">
        <v>0</v>
      </c>
      <c r="BF174" s="8">
        <v>0</v>
      </c>
      <c r="BG174" s="8">
        <v>0</v>
      </c>
      <c r="BH174" s="8">
        <v>0</v>
      </c>
      <c r="BI174" s="8">
        <v>0</v>
      </c>
      <c r="BJ174" s="8">
        <v>0</v>
      </c>
      <c r="BK174" s="8">
        <v>0</v>
      </c>
      <c r="BL174" s="8">
        <v>0</v>
      </c>
      <c r="BM174" s="8">
        <v>0</v>
      </c>
      <c r="BN174" s="8">
        <v>0</v>
      </c>
      <c r="BO174" s="8">
        <v>0</v>
      </c>
      <c r="BP174" s="8">
        <v>0</v>
      </c>
      <c r="BQ174" s="8">
        <v>0</v>
      </c>
      <c r="BR174" s="8">
        <v>0</v>
      </c>
      <c r="BS174" s="8">
        <v>0</v>
      </c>
      <c r="BT174" s="8">
        <v>0</v>
      </c>
      <c r="BU174" s="8">
        <v>1</v>
      </c>
      <c r="BV174" s="8">
        <v>0</v>
      </c>
      <c r="BW174" s="8">
        <v>0</v>
      </c>
      <c r="BX174" s="8">
        <v>0</v>
      </c>
      <c r="BY174" s="8">
        <v>0</v>
      </c>
      <c r="BZ174" s="8">
        <v>0</v>
      </c>
      <c r="CA174" s="8">
        <v>0</v>
      </c>
      <c r="CB174" s="8">
        <v>0</v>
      </c>
      <c r="CC174" s="8">
        <v>0</v>
      </c>
      <c r="CD174" s="8">
        <v>0</v>
      </c>
      <c r="CE174" s="8">
        <v>0</v>
      </c>
      <c r="CF174" s="8">
        <v>0</v>
      </c>
      <c r="CG174" s="8">
        <v>0</v>
      </c>
      <c r="CH174" s="8">
        <v>0</v>
      </c>
      <c r="CI174" s="8">
        <v>0</v>
      </c>
      <c r="CJ174" s="8">
        <v>0</v>
      </c>
      <c r="CK174" s="8">
        <v>0</v>
      </c>
      <c r="CL174" s="8">
        <v>0</v>
      </c>
      <c r="CM174" s="8">
        <v>0</v>
      </c>
      <c r="CN174" s="8">
        <v>0</v>
      </c>
      <c r="CO174" s="8">
        <v>0</v>
      </c>
      <c r="CP174" s="8">
        <v>0</v>
      </c>
      <c r="CQ174" s="8">
        <v>0</v>
      </c>
      <c r="CR174" s="8">
        <v>0</v>
      </c>
      <c r="CS174" s="8">
        <v>0</v>
      </c>
      <c r="CT174" s="7" t="e">
        <f>SUMPRODUCT(AssyMatrix[[#This Row],[Assy001]:[Assy075BP]],$C$1:$CS$1)</f>
        <v>#VALUE!</v>
      </c>
    </row>
    <row r="175" spans="1:98" x14ac:dyDescent="0.3">
      <c r="A175" s="81" t="s">
        <v>781</v>
      </c>
      <c r="B175" s="81" t="s">
        <v>271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1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1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1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8">
        <v>1</v>
      </c>
      <c r="BB175" s="8">
        <v>0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  <c r="BL175" s="8">
        <v>0</v>
      </c>
      <c r="BM175" s="8">
        <v>0</v>
      </c>
      <c r="BN175" s="8">
        <v>0</v>
      </c>
      <c r="BO175" s="8">
        <v>0</v>
      </c>
      <c r="BP175" s="8">
        <v>0</v>
      </c>
      <c r="BQ175" s="8">
        <v>0</v>
      </c>
      <c r="BR175" s="8">
        <v>0</v>
      </c>
      <c r="BS175" s="8">
        <v>0</v>
      </c>
      <c r="BT175" s="8">
        <v>0</v>
      </c>
      <c r="BU175" s="8">
        <v>1</v>
      </c>
      <c r="BV175" s="8">
        <v>0</v>
      </c>
      <c r="BW175" s="8">
        <v>0</v>
      </c>
      <c r="BX175" s="8">
        <v>0</v>
      </c>
      <c r="BY175" s="8">
        <v>0</v>
      </c>
      <c r="BZ175" s="8">
        <v>0</v>
      </c>
      <c r="CA175" s="8">
        <v>0</v>
      </c>
      <c r="CB175" s="8">
        <v>0</v>
      </c>
      <c r="CC175" s="8">
        <v>0</v>
      </c>
      <c r="CD175" s="8">
        <v>0</v>
      </c>
      <c r="CE175" s="8">
        <v>0</v>
      </c>
      <c r="CF175" s="8">
        <v>0</v>
      </c>
      <c r="CG175" s="8">
        <v>0</v>
      </c>
      <c r="CH175" s="8">
        <v>0</v>
      </c>
      <c r="CI175" s="8">
        <v>0</v>
      </c>
      <c r="CJ175" s="8">
        <v>0</v>
      </c>
      <c r="CK175" s="8">
        <v>0</v>
      </c>
      <c r="CL175" s="8">
        <v>0</v>
      </c>
      <c r="CM175" s="8">
        <v>0</v>
      </c>
      <c r="CN175" s="8">
        <v>0</v>
      </c>
      <c r="CO175" s="8">
        <v>0</v>
      </c>
      <c r="CP175" s="8">
        <v>0</v>
      </c>
      <c r="CQ175" s="8">
        <v>0</v>
      </c>
      <c r="CR175" s="8">
        <v>0</v>
      </c>
      <c r="CS175" s="8">
        <v>0</v>
      </c>
      <c r="CT175" s="7" t="e">
        <f>SUMPRODUCT(AssyMatrix[[#This Row],[Assy001]:[Assy075BP]],$C$1:$CS$1)</f>
        <v>#VALUE!</v>
      </c>
    </row>
    <row r="176" spans="1:98" x14ac:dyDescent="0.3">
      <c r="A176" s="81" t="s">
        <v>517</v>
      </c>
      <c r="B176" s="81" t="s">
        <v>68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1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1</v>
      </c>
      <c r="AR176" s="8">
        <v>0</v>
      </c>
      <c r="AS176" s="8">
        <v>0</v>
      </c>
      <c r="AT176" s="8">
        <v>0</v>
      </c>
      <c r="AU176" s="8">
        <v>1</v>
      </c>
      <c r="AV176" s="8">
        <v>0</v>
      </c>
      <c r="AW176" s="8">
        <v>0</v>
      </c>
      <c r="AX176" s="8">
        <v>0</v>
      </c>
      <c r="AY176" s="8">
        <v>0</v>
      </c>
      <c r="AZ176" s="8">
        <v>0</v>
      </c>
      <c r="BA176" s="8">
        <v>0</v>
      </c>
      <c r="BB176" s="8">
        <v>0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  <c r="BN176" s="8">
        <v>0</v>
      </c>
      <c r="BO176" s="8">
        <v>0</v>
      </c>
      <c r="BP176" s="8">
        <v>0</v>
      </c>
      <c r="BQ176" s="8">
        <v>0</v>
      </c>
      <c r="BR176" s="8">
        <v>0</v>
      </c>
      <c r="BS176" s="8">
        <v>0</v>
      </c>
      <c r="BT176" s="8">
        <v>1</v>
      </c>
      <c r="BU176" s="8">
        <v>0</v>
      </c>
      <c r="BV176" s="8">
        <v>0</v>
      </c>
      <c r="BW176" s="8">
        <v>0</v>
      </c>
      <c r="BX176" s="8">
        <v>0</v>
      </c>
      <c r="BY176" s="8">
        <v>0</v>
      </c>
      <c r="BZ176" s="8">
        <v>0</v>
      </c>
      <c r="CA176" s="8">
        <v>0</v>
      </c>
      <c r="CB176" s="8">
        <v>0</v>
      </c>
      <c r="CC176" s="8">
        <v>0</v>
      </c>
      <c r="CD176" s="8">
        <v>0</v>
      </c>
      <c r="CE176" s="8">
        <v>0</v>
      </c>
      <c r="CF176" s="8">
        <v>0</v>
      </c>
      <c r="CG176" s="8">
        <v>0</v>
      </c>
      <c r="CH176" s="8">
        <v>0</v>
      </c>
      <c r="CI176" s="8">
        <v>0</v>
      </c>
      <c r="CJ176" s="8">
        <v>0</v>
      </c>
      <c r="CK176" s="8">
        <v>0</v>
      </c>
      <c r="CL176" s="8">
        <v>0</v>
      </c>
      <c r="CM176" s="8">
        <v>0</v>
      </c>
      <c r="CN176" s="8">
        <v>0</v>
      </c>
      <c r="CO176" s="8">
        <v>0</v>
      </c>
      <c r="CP176" s="8">
        <v>0</v>
      </c>
      <c r="CQ176" s="8">
        <v>0</v>
      </c>
      <c r="CR176" s="8">
        <v>0</v>
      </c>
      <c r="CS176" s="8">
        <v>0</v>
      </c>
      <c r="CT176" s="7" t="e">
        <f>SUMPRODUCT(AssyMatrix[[#This Row],[Assy001]:[Assy075BP]],$C$1:$CS$1)</f>
        <v>#VALUE!</v>
      </c>
    </row>
    <row r="177" spans="1:98" x14ac:dyDescent="0.3">
      <c r="A177" s="81" t="s">
        <v>782</v>
      </c>
      <c r="B177" s="81" t="s">
        <v>75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1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1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8">
        <v>1</v>
      </c>
      <c r="AR177" s="8">
        <v>0</v>
      </c>
      <c r="AS177" s="8">
        <v>0</v>
      </c>
      <c r="AT177" s="8">
        <v>0</v>
      </c>
      <c r="AU177" s="8">
        <v>1</v>
      </c>
      <c r="AV177" s="8">
        <v>0</v>
      </c>
      <c r="AW177" s="8">
        <v>0</v>
      </c>
      <c r="AX177" s="8">
        <v>0</v>
      </c>
      <c r="AY177" s="8">
        <v>0</v>
      </c>
      <c r="AZ177" s="8">
        <v>0</v>
      </c>
      <c r="BA177" s="8">
        <v>0</v>
      </c>
      <c r="BB177" s="8">
        <v>0</v>
      </c>
      <c r="BC177" s="8">
        <v>0</v>
      </c>
      <c r="BD177" s="8">
        <v>0</v>
      </c>
      <c r="BE177" s="8">
        <v>0</v>
      </c>
      <c r="BF177" s="8">
        <v>0</v>
      </c>
      <c r="BG177" s="8">
        <v>0</v>
      </c>
      <c r="BH177" s="8">
        <v>0</v>
      </c>
      <c r="BI177" s="8">
        <v>0</v>
      </c>
      <c r="BJ177" s="8">
        <v>0</v>
      </c>
      <c r="BK177" s="8">
        <v>0</v>
      </c>
      <c r="BL177" s="8">
        <v>0</v>
      </c>
      <c r="BM177" s="8">
        <v>0</v>
      </c>
      <c r="BN177" s="8">
        <v>0</v>
      </c>
      <c r="BO177" s="8">
        <v>0</v>
      </c>
      <c r="BP177" s="8">
        <v>0</v>
      </c>
      <c r="BQ177" s="8">
        <v>0</v>
      </c>
      <c r="BR177" s="8">
        <v>0</v>
      </c>
      <c r="BS177" s="8">
        <v>0</v>
      </c>
      <c r="BT177" s="8">
        <v>1</v>
      </c>
      <c r="BU177" s="8">
        <v>0</v>
      </c>
      <c r="BV177" s="8">
        <v>0</v>
      </c>
      <c r="BW177" s="8">
        <v>0</v>
      </c>
      <c r="BX177" s="8">
        <v>0</v>
      </c>
      <c r="BY177" s="8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8">
        <v>0</v>
      </c>
      <c r="CF177" s="8">
        <v>0</v>
      </c>
      <c r="CG177" s="8">
        <v>0</v>
      </c>
      <c r="CH177" s="8">
        <v>0</v>
      </c>
      <c r="CI177" s="8">
        <v>0</v>
      </c>
      <c r="CJ177" s="8">
        <v>0</v>
      </c>
      <c r="CK177" s="8">
        <v>0</v>
      </c>
      <c r="CL177" s="8">
        <v>0</v>
      </c>
      <c r="CM177" s="8">
        <v>0</v>
      </c>
      <c r="CN177" s="8">
        <v>0</v>
      </c>
      <c r="CO177" s="8">
        <v>0</v>
      </c>
      <c r="CP177" s="8">
        <v>0</v>
      </c>
      <c r="CQ177" s="8">
        <v>0</v>
      </c>
      <c r="CR177" s="8">
        <v>0</v>
      </c>
      <c r="CS177" s="8">
        <v>0</v>
      </c>
      <c r="CT177" s="7" t="e">
        <f>SUMPRODUCT(AssyMatrix[[#This Row],[Assy001]:[Assy075BP]],$C$1:$CS$1)</f>
        <v>#VALUE!</v>
      </c>
    </row>
    <row r="178" spans="1:98" x14ac:dyDescent="0.3">
      <c r="A178" s="81" t="s">
        <v>518</v>
      </c>
      <c r="B178" s="81" t="s">
        <v>267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1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1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8">
        <v>1</v>
      </c>
      <c r="AR178" s="8">
        <v>0</v>
      </c>
      <c r="AS178" s="8">
        <v>0</v>
      </c>
      <c r="AT178" s="8">
        <v>0</v>
      </c>
      <c r="AU178" s="8">
        <v>1</v>
      </c>
      <c r="AV178" s="8">
        <v>0</v>
      </c>
      <c r="AW178" s="8">
        <v>0</v>
      </c>
      <c r="AX178" s="8">
        <v>0</v>
      </c>
      <c r="AY178" s="8">
        <v>0</v>
      </c>
      <c r="AZ178" s="8">
        <v>0</v>
      </c>
      <c r="BA178" s="8">
        <v>0</v>
      </c>
      <c r="BB178" s="8">
        <v>0</v>
      </c>
      <c r="BC178" s="8">
        <v>0</v>
      </c>
      <c r="BD178" s="8">
        <v>0</v>
      </c>
      <c r="BE178" s="8">
        <v>0</v>
      </c>
      <c r="BF178" s="8">
        <v>0</v>
      </c>
      <c r="BG178" s="8">
        <v>0</v>
      </c>
      <c r="BH178" s="8">
        <v>0</v>
      </c>
      <c r="BI178" s="8">
        <v>0</v>
      </c>
      <c r="BJ178" s="8">
        <v>0</v>
      </c>
      <c r="BK178" s="8">
        <v>0</v>
      </c>
      <c r="BL178" s="8">
        <v>0</v>
      </c>
      <c r="BM178" s="8">
        <v>0</v>
      </c>
      <c r="BN178" s="8">
        <v>0</v>
      </c>
      <c r="BO178" s="8">
        <v>0</v>
      </c>
      <c r="BP178" s="8">
        <v>0</v>
      </c>
      <c r="BQ178" s="8">
        <v>0</v>
      </c>
      <c r="BR178" s="8">
        <v>0</v>
      </c>
      <c r="BS178" s="8">
        <v>0</v>
      </c>
      <c r="BT178" s="8">
        <v>0</v>
      </c>
      <c r="BU178" s="8">
        <v>1</v>
      </c>
      <c r="BV178" s="8">
        <v>0</v>
      </c>
      <c r="BW178" s="8">
        <v>0</v>
      </c>
      <c r="BX178" s="8">
        <v>0</v>
      </c>
      <c r="BY178" s="8">
        <v>0</v>
      </c>
      <c r="BZ178" s="8">
        <v>0</v>
      </c>
      <c r="CA178" s="8">
        <v>0</v>
      </c>
      <c r="CB178" s="8">
        <v>0</v>
      </c>
      <c r="CC178" s="8">
        <v>0</v>
      </c>
      <c r="CD178" s="8">
        <v>0</v>
      </c>
      <c r="CE178" s="8">
        <v>0</v>
      </c>
      <c r="CF178" s="8">
        <v>0</v>
      </c>
      <c r="CG178" s="8">
        <v>0</v>
      </c>
      <c r="CH178" s="8">
        <v>0</v>
      </c>
      <c r="CI178" s="8">
        <v>0</v>
      </c>
      <c r="CJ178" s="8">
        <v>0</v>
      </c>
      <c r="CK178" s="8">
        <v>0</v>
      </c>
      <c r="CL178" s="8">
        <v>0</v>
      </c>
      <c r="CM178" s="8">
        <v>0</v>
      </c>
      <c r="CN178" s="8">
        <v>0</v>
      </c>
      <c r="CO178" s="8">
        <v>0</v>
      </c>
      <c r="CP178" s="8">
        <v>0</v>
      </c>
      <c r="CQ178" s="8">
        <v>0</v>
      </c>
      <c r="CR178" s="8">
        <v>0</v>
      </c>
      <c r="CS178" s="8">
        <v>0</v>
      </c>
      <c r="CT178" s="7" t="e">
        <f>SUMPRODUCT(AssyMatrix[[#This Row],[Assy001]:[Assy075BP]],$C$1:$CS$1)</f>
        <v>#VALUE!</v>
      </c>
    </row>
    <row r="179" spans="1:98" x14ac:dyDescent="0.3">
      <c r="A179" s="81" t="s">
        <v>783</v>
      </c>
      <c r="B179" s="81" t="s">
        <v>272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1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1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8">
        <v>1</v>
      </c>
      <c r="AR179" s="8">
        <v>0</v>
      </c>
      <c r="AS179" s="8">
        <v>0</v>
      </c>
      <c r="AT179" s="8">
        <v>0</v>
      </c>
      <c r="AU179" s="8">
        <v>1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8">
        <v>0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8">
        <v>0</v>
      </c>
      <c r="BK179" s="8">
        <v>0</v>
      </c>
      <c r="BL179" s="8">
        <v>0</v>
      </c>
      <c r="BM179" s="8">
        <v>0</v>
      </c>
      <c r="BN179" s="8">
        <v>0</v>
      </c>
      <c r="BO179" s="8">
        <v>0</v>
      </c>
      <c r="BP179" s="8">
        <v>0</v>
      </c>
      <c r="BQ179" s="8">
        <v>0</v>
      </c>
      <c r="BR179" s="8">
        <v>0</v>
      </c>
      <c r="BS179" s="8">
        <v>0</v>
      </c>
      <c r="BT179" s="8">
        <v>0</v>
      </c>
      <c r="BU179" s="8">
        <v>1</v>
      </c>
      <c r="BV179" s="8">
        <v>0</v>
      </c>
      <c r="BW179" s="8">
        <v>0</v>
      </c>
      <c r="BX179" s="8">
        <v>0</v>
      </c>
      <c r="BY179" s="8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0</v>
      </c>
      <c r="CE179" s="8">
        <v>0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8">
        <v>0</v>
      </c>
      <c r="CL179" s="8">
        <v>0</v>
      </c>
      <c r="CM179" s="8">
        <v>0</v>
      </c>
      <c r="CN179" s="8">
        <v>0</v>
      </c>
      <c r="CO179" s="8">
        <v>0</v>
      </c>
      <c r="CP179" s="8">
        <v>0</v>
      </c>
      <c r="CQ179" s="8">
        <v>0</v>
      </c>
      <c r="CR179" s="8">
        <v>0</v>
      </c>
      <c r="CS179" s="8">
        <v>0</v>
      </c>
      <c r="CT179" s="7" t="e">
        <f>SUMPRODUCT(AssyMatrix[[#This Row],[Assy001]:[Assy075BP]],$C$1:$CS$1)</f>
        <v>#VALUE!</v>
      </c>
    </row>
    <row r="180" spans="1:98" s="8" customFormat="1" x14ac:dyDescent="0.3">
      <c r="A180" s="7"/>
      <c r="B180" s="7"/>
      <c r="CP180" s="7"/>
      <c r="CQ180" s="7"/>
      <c r="CT180" s="7"/>
    </row>
    <row r="181" spans="1:98" x14ac:dyDescent="0.3">
      <c r="A181" s="8" t="s">
        <v>125</v>
      </c>
      <c r="B181" s="8"/>
      <c r="C181" s="8">
        <f>SUBTOTAL(109,AssyMatrix[Assy001])</f>
        <v>28</v>
      </c>
      <c r="D181" s="8">
        <f>SUBTOTAL(109,AssyMatrix[Assy001BC])</f>
        <v>28</v>
      </c>
      <c r="E181" s="8">
        <f>SUBTOTAL(109,AssyMatrix[Assy001SCT])</f>
        <v>38</v>
      </c>
      <c r="F181" s="8">
        <f>SUBTOTAL(109,AssyMatrix[Assy001SCB])</f>
        <v>38</v>
      </c>
      <c r="G181" s="8">
        <f>SUBTOTAL(109,AssyMatrix[Assy001BP])</f>
        <v>28</v>
      </c>
      <c r="H181" s="8">
        <f>SUBTOTAL(109,AssyMatrix[Assy002])</f>
        <v>76</v>
      </c>
      <c r="I181" s="8">
        <f>SUBTOTAL(109,AssyMatrix[Assy003])</f>
        <v>28</v>
      </c>
      <c r="J181" s="8">
        <f>SUBTOTAL(109,AssyMatrix[Assy003BC])</f>
        <v>28</v>
      </c>
      <c r="K181" s="8">
        <f>SUBTOTAL(109,AssyMatrix[Assy003SCT])</f>
        <v>28</v>
      </c>
      <c r="L181" s="8">
        <f>SUBTOTAL(109,AssyMatrix[Assy003SCB])</f>
        <v>28</v>
      </c>
      <c r="M181" s="8">
        <f>SUBTOTAL(109,AssyMatrix[Assy003BP])</f>
        <v>28</v>
      </c>
      <c r="N181" s="8">
        <f>SUBTOTAL(109,AssyMatrix[Assy004])</f>
        <v>15</v>
      </c>
      <c r="O181" s="8">
        <f>SUBTOTAL(109,AssyMatrix[Assy004BC])</f>
        <v>15</v>
      </c>
      <c r="P181" s="8">
        <f>SUBTOTAL(109,AssyMatrix[Assy004SCT])</f>
        <v>15</v>
      </c>
      <c r="Q181" s="8">
        <f>SUBTOTAL(109,AssyMatrix[Assy004SCB])</f>
        <v>15</v>
      </c>
      <c r="R181" s="8">
        <f>SUBTOTAL(109,AssyMatrix[Assy004BP])</f>
        <v>15</v>
      </c>
      <c r="S181" s="8">
        <f>SUBTOTAL(109,AssyMatrix[Assy006])</f>
        <v>76</v>
      </c>
      <c r="T181" s="8">
        <f>SUBTOTAL(109,AssyMatrix[Assy008])</f>
        <v>15</v>
      </c>
      <c r="U181" s="8">
        <f>SUBTOTAL(109,AssyMatrix[Assy008BC])</f>
        <v>15</v>
      </c>
      <c r="V181" s="8">
        <f>SUBTOTAL(109,AssyMatrix[Assy008SCT])</f>
        <v>15</v>
      </c>
      <c r="W181" s="8">
        <f>SUBTOTAL(109,AssyMatrix[Assy008SCB])</f>
        <v>15</v>
      </c>
      <c r="X181" s="8">
        <f>SUBTOTAL(109,AssyMatrix[Assy008BP])</f>
        <v>15</v>
      </c>
      <c r="Y181" s="8">
        <f>SUBTOTAL(109,AssyMatrix[Assy009])</f>
        <v>28</v>
      </c>
      <c r="Z181" s="8">
        <f>SUBTOTAL(109,AssyMatrix[Assy033])</f>
        <v>14</v>
      </c>
      <c r="AA181" s="8">
        <f>SUBTOTAL(109,AssyMatrix[Assy010U])</f>
        <v>20</v>
      </c>
      <c r="AB181" s="8">
        <f>SUBTOTAL(109,AssyMatrix[Assy011U])</f>
        <v>59</v>
      </c>
      <c r="AC181" s="8">
        <f>SUBTOTAL(109,AssyMatrix[Assy012U])</f>
        <v>47</v>
      </c>
      <c r="AD181" s="8">
        <f>SUBTOTAL(109,AssyMatrix[Assy013U])</f>
        <v>12</v>
      </c>
      <c r="AE181" s="8">
        <f>SUBTOTAL(109,AssyMatrix[Assy010V])</f>
        <v>20</v>
      </c>
      <c r="AF181" s="8">
        <f>SUBTOTAL(109,AssyMatrix[Assy011V])</f>
        <v>59</v>
      </c>
      <c r="AG181" s="8">
        <f>SUBTOTAL(109,AssyMatrix[Assy012V])</f>
        <v>47</v>
      </c>
      <c r="AH181" s="8">
        <f>SUBTOTAL(109,AssyMatrix[Assy013V])</f>
        <v>12</v>
      </c>
      <c r="AI181" s="8">
        <f>SUBTOTAL(109,AssyMatrix[Assy010L])</f>
        <v>0</v>
      </c>
      <c r="AJ181" s="8">
        <f>SUBTOTAL(109,AssyMatrix[Assy011L])</f>
        <v>0</v>
      </c>
      <c r="AK181" s="8">
        <f>SUBTOTAL(109,AssyMatrix[Assy012L])</f>
        <v>0</v>
      </c>
      <c r="AL181" s="8">
        <f>SUBTOTAL(109,AssyMatrix[Assy013L])</f>
        <v>0</v>
      </c>
      <c r="AM181" s="8">
        <f>SUBTOTAL(109,AssyMatrix[Assy010W])</f>
        <v>0</v>
      </c>
      <c r="AN181" s="8">
        <f>SUBTOTAL(109,AssyMatrix[Assy011W])</f>
        <v>0</v>
      </c>
      <c r="AO181" s="8">
        <f>SUBTOTAL(109,AssyMatrix[Assy012W])</f>
        <v>0</v>
      </c>
      <c r="AP181" s="8">
        <f>SUBTOTAL(109,AssyMatrix[Assy013W])</f>
        <v>0</v>
      </c>
      <c r="AQ181" s="8">
        <f>SUBTOTAL(109,AssyMatrix[Assy005])</f>
        <v>32</v>
      </c>
      <c r="AR181" s="8">
        <f>SUBTOTAL(109,AssyMatrix[Assy007])</f>
        <v>16</v>
      </c>
      <c r="AS181" s="8">
        <f>SUBTOTAL(109,AssyMatrix[Assy014])</f>
        <v>16</v>
      </c>
      <c r="AT181" s="8">
        <f>SUBTOTAL(109,AssyMatrix[Assy015])</f>
        <v>104</v>
      </c>
      <c r="AU181" s="8">
        <f>SUBTOTAL(109,AssyMatrix[Assy016])</f>
        <v>88</v>
      </c>
      <c r="AV181" s="8">
        <f>SUBTOTAL(109,AssyMatrix[Assy017])</f>
        <v>4</v>
      </c>
      <c r="AW181" s="8">
        <f>SUBTOTAL(109,AssyMatrix[Assy018])</f>
        <v>32</v>
      </c>
      <c r="AX181" s="8">
        <f>SUBTOTAL(109,AssyMatrix[Assy019])</f>
        <v>4</v>
      </c>
      <c r="AY181" s="8">
        <f>SUBTOTAL(109,AssyMatrix[Assy020])</f>
        <v>18</v>
      </c>
      <c r="AZ181" s="8">
        <f>SUBTOTAL(109,AssyMatrix[Assy021])</f>
        <v>14</v>
      </c>
      <c r="BA181" s="8">
        <f>SUBTOTAL(109,AssyMatrix[Assy032])</f>
        <v>16</v>
      </c>
      <c r="BB181" s="8">
        <f>SUBTOTAL(109,AssyMatrix[Assy022])</f>
        <v>7</v>
      </c>
      <c r="BC181" s="8">
        <f>SUBTOTAL(109,AssyMatrix[Assy023])</f>
        <v>7</v>
      </c>
      <c r="BD181" s="8">
        <f>SUBTOTAL(109,AssyMatrix[Assy024])</f>
        <v>4</v>
      </c>
      <c r="BE181" s="8">
        <f>SUBTOTAL(109,AssyMatrix[Assy025])</f>
        <v>4</v>
      </c>
      <c r="BF181" s="8">
        <f>SUBTOTAL(109,AssyMatrix[Assy026])</f>
        <v>8</v>
      </c>
      <c r="BG181" s="8">
        <f>SUBTOTAL(109,AssyMatrix[Assy027])</f>
        <v>8</v>
      </c>
      <c r="BH181" s="8">
        <f>SUBTOTAL(109,AssyMatrix[Assy028])</f>
        <v>4</v>
      </c>
      <c r="BI181" s="8">
        <f>SUBTOTAL(109,AssyMatrix[Assy029])</f>
        <v>4</v>
      </c>
      <c r="BJ181" s="8">
        <f>SUBTOTAL(109,AssyMatrix[Assy030])</f>
        <v>8</v>
      </c>
      <c r="BK181" s="8">
        <f>SUBTOTAL(109,AssyMatrix[Assy031])</f>
        <v>8</v>
      </c>
      <c r="BL181" s="8">
        <f>SUBTOTAL(109,AssyMatrix[Assy055])</f>
        <v>4</v>
      </c>
      <c r="BM181" s="8">
        <f>SUBTOTAL(109,AssyMatrix[Assy056])</f>
        <v>4</v>
      </c>
      <c r="BN181" s="8">
        <f>SUBTOTAL(109,AssyMatrix[Assy057])</f>
        <v>4</v>
      </c>
      <c r="BO181" s="8">
        <f>SUBTOTAL(109,AssyMatrix[Assy058])</f>
        <v>4</v>
      </c>
      <c r="BP181" s="8">
        <f>SUBTOTAL(109,AssyMatrix[Assy059])</f>
        <v>4</v>
      </c>
      <c r="BQ181" s="8">
        <f>SUBTOTAL(109,AssyMatrix[Assy060])</f>
        <v>8</v>
      </c>
      <c r="BR181" s="8">
        <f>SUBTOTAL(109,AssyMatrix[Assy061])</f>
        <v>4</v>
      </c>
      <c r="BS181" s="8">
        <f>SUBTOTAL(109,AssyMatrix[Assy062])</f>
        <v>4</v>
      </c>
      <c r="BT181" s="8">
        <f>SUBTOTAL(109,AssyMatrix[Assy063])</f>
        <v>8</v>
      </c>
      <c r="BU181" s="8">
        <f>SUBTOTAL(109,AssyMatrix[Assy064])</f>
        <v>4</v>
      </c>
      <c r="BV181" s="8">
        <f>SUBTOTAL(109,AssyMatrix[Assy065])</f>
        <v>10</v>
      </c>
      <c r="BW181" s="8">
        <f>SUBTOTAL(109,AssyMatrix[Assy065BC])</f>
        <v>10</v>
      </c>
      <c r="BX181" s="8">
        <f>SUBTOTAL(109,AssyMatrix[Assy065BP])</f>
        <v>10</v>
      </c>
      <c r="BY181" s="8">
        <f>SUBTOTAL(109,AssyMatrix[Assy066])</f>
        <v>10</v>
      </c>
      <c r="BZ181" s="8">
        <f>SUBTOTAL(109,AssyMatrix[Assy067])</f>
        <v>4</v>
      </c>
      <c r="CA181" s="8">
        <f>SUBTOTAL(109,AssyMatrix[Assy067U])</f>
        <v>4</v>
      </c>
      <c r="CB181" s="8">
        <f>SUBTOTAL(109,AssyMatrix[Assy068])</f>
        <v>8</v>
      </c>
      <c r="CC181" s="8">
        <f>SUBTOTAL(109,AssyMatrix[Assy069])</f>
        <v>4</v>
      </c>
      <c r="CD181" s="8">
        <f>SUBTOTAL(109,AssyMatrix[Assy070])</f>
        <v>10</v>
      </c>
      <c r="CE181" s="8">
        <f>SUBTOTAL(109,AssyMatrix[Assy071])</f>
        <v>10</v>
      </c>
      <c r="CF181" s="8">
        <f>SUBTOTAL(109,AssyMatrix[Assy072])</f>
        <v>3</v>
      </c>
      <c r="CG181" s="8">
        <f>SUBTOTAL(109,AssyMatrix[Assy072BC])</f>
        <v>9</v>
      </c>
      <c r="CH181" s="8">
        <f>SUBTOTAL(109,AssyMatrix[Assy072BP])</f>
        <v>3</v>
      </c>
      <c r="CI181" s="8">
        <f>SUBTOTAL(109,AssyMatrix[Assy072SCB])</f>
        <v>9</v>
      </c>
      <c r="CJ181" s="8">
        <f>SUBTOTAL(109,AssyMatrix[Assy072SCT])</f>
        <v>9</v>
      </c>
      <c r="CK181" s="8">
        <f>SUBTOTAL(109,AssyMatrix[Assy073])</f>
        <v>3</v>
      </c>
      <c r="CL181" s="8">
        <f>SUBTOTAL(109,AssyMatrix[Assy073BP])</f>
        <v>3</v>
      </c>
      <c r="CM181" s="8">
        <f>SUBTOTAL(109,AssyMatrix[Assy074])</f>
        <v>3</v>
      </c>
      <c r="CN181" s="8">
        <f>SUBTOTAL(109,AssyMatrix[Assy074BC])</f>
        <v>9</v>
      </c>
      <c r="CO181" s="8">
        <f>SUBTOTAL(109,AssyMatrix[Assy074BP])</f>
        <v>3</v>
      </c>
      <c r="CP181" s="8">
        <f>SUBTOTAL(109,AssyMatrix[Assy074SCB])</f>
        <v>9</v>
      </c>
      <c r="CQ181" s="8">
        <f>SUBTOTAL(109,AssyMatrix[Assy074SCT])</f>
        <v>9</v>
      </c>
      <c r="CR181" s="8">
        <f>SUBTOTAL(109,AssyMatrix[Assy075])</f>
        <v>3</v>
      </c>
      <c r="CS181" s="8">
        <f>SUBTOTAL(109,AssyMatrix[Assy075BP])</f>
        <v>3</v>
      </c>
      <c r="CT181" s="8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Z97"/>
  <sheetViews>
    <sheetView showGridLines="0" zoomScale="85" zoomScaleNormal="85" workbookViewId="0">
      <selection activeCell="H5" sqref="H5:H6"/>
    </sheetView>
  </sheetViews>
  <sheetFormatPr defaultColWidth="9.33203125" defaultRowHeight="14.4" x14ac:dyDescent="0.3"/>
  <cols>
    <col min="1" max="1" width="11.33203125" style="1" bestFit="1" customWidth="1"/>
    <col min="2" max="2" width="41.44140625" style="1" bestFit="1" customWidth="1"/>
    <col min="3" max="3" width="5" style="7" bestFit="1" customWidth="1"/>
    <col min="4" max="4" width="9.33203125" style="7"/>
    <col min="5" max="5" width="27" style="1" bestFit="1" customWidth="1"/>
    <col min="6" max="10" width="11.5546875" style="1" customWidth="1"/>
    <col min="11" max="11" width="9.33203125" style="7"/>
    <col min="12" max="13" width="9.33203125" style="1"/>
    <col min="14" max="14" width="10.44140625" style="1" bestFit="1" customWidth="1"/>
    <col min="15" max="16" width="11.33203125" style="1" bestFit="1" customWidth="1"/>
    <col min="17" max="17" width="13.5546875" style="1" bestFit="1" customWidth="1"/>
    <col min="18" max="20" width="13.5546875" style="1" customWidth="1"/>
    <col min="21" max="22" width="5.33203125" style="1" bestFit="1" customWidth="1"/>
    <col min="23" max="23" width="19.6640625" style="1" customWidth="1"/>
    <col min="24" max="16384" width="9.33203125" style="1"/>
  </cols>
  <sheetData>
    <row r="2" spans="1:26" x14ac:dyDescent="0.3">
      <c r="A2" s="3" t="s">
        <v>95</v>
      </c>
      <c r="B2" s="3" t="s">
        <v>91</v>
      </c>
      <c r="C2" s="16" t="s">
        <v>105</v>
      </c>
      <c r="D2" s="16" t="s">
        <v>109</v>
      </c>
      <c r="E2" s="3" t="s">
        <v>240</v>
      </c>
      <c r="F2" s="3"/>
      <c r="G2" s="99">
        <v>2021.2</v>
      </c>
      <c r="H2" s="99">
        <v>2021</v>
      </c>
      <c r="I2" s="99">
        <v>2020</v>
      </c>
      <c r="J2" s="99" t="s">
        <v>792</v>
      </c>
      <c r="K2" s="98">
        <v>2018</v>
      </c>
      <c r="L2" s="90">
        <v>2017</v>
      </c>
      <c r="M2" s="90">
        <v>2015</v>
      </c>
      <c r="N2" s="90" t="s">
        <v>553</v>
      </c>
      <c r="O2" s="90" t="s">
        <v>789</v>
      </c>
      <c r="P2" s="90" t="s">
        <v>791</v>
      </c>
      <c r="Q2" s="90" t="s">
        <v>796</v>
      </c>
      <c r="R2" s="90" t="s">
        <v>944</v>
      </c>
      <c r="S2" s="90" t="s">
        <v>948</v>
      </c>
      <c r="T2" s="90" t="s">
        <v>950</v>
      </c>
      <c r="U2" s="90"/>
      <c r="V2" s="90"/>
      <c r="W2" s="90"/>
    </row>
    <row r="3" spans="1:26" x14ac:dyDescent="0.3">
      <c r="A3" s="3" t="s">
        <v>162</v>
      </c>
      <c r="B3" s="3" t="s">
        <v>136</v>
      </c>
      <c r="C3" s="16">
        <v>0</v>
      </c>
      <c r="D3" s="16">
        <v>2132</v>
      </c>
      <c r="E3" s="3" t="s">
        <v>152</v>
      </c>
      <c r="F3" s="3"/>
      <c r="G3" s="3">
        <f>ROUNDUP(H3*S3,0)</f>
        <v>1974</v>
      </c>
      <c r="H3" s="3">
        <v>1880</v>
      </c>
      <c r="I3" s="3">
        <f>ROUND((J3*Q3),0)</f>
        <v>764</v>
      </c>
      <c r="J3" s="3">
        <f>ROUND((K3*P3),0)</f>
        <v>728</v>
      </c>
      <c r="K3" s="7">
        <f>ROUND((L3*O3),0)</f>
        <v>693</v>
      </c>
      <c r="L3" s="1">
        <f>ROUND((M3*N3),0)</f>
        <v>666</v>
      </c>
      <c r="M3" s="1">
        <v>640</v>
      </c>
      <c r="N3" s="1">
        <v>1.04</v>
      </c>
      <c r="O3" s="1">
        <v>1.04</v>
      </c>
      <c r="P3" s="1">
        <v>1.05</v>
      </c>
      <c r="Q3" s="1">
        <v>1.05</v>
      </c>
      <c r="R3" s="1">
        <v>1.05</v>
      </c>
      <c r="S3" s="1">
        <v>1.05</v>
      </c>
      <c r="T3" s="1">
        <v>1.08</v>
      </c>
      <c r="U3" s="1">
        <v>1624</v>
      </c>
      <c r="V3" s="1">
        <v>1705</v>
      </c>
      <c r="W3" s="1">
        <f>VLOOKUP(V3,$Y$3:$Z$97,2,FALSE)</f>
        <v>1790</v>
      </c>
      <c r="X3" s="1">
        <v>693</v>
      </c>
      <c r="Y3" s="1">
        <v>728</v>
      </c>
      <c r="Z3" s="1">
        <v>764</v>
      </c>
    </row>
    <row r="4" spans="1:26" x14ac:dyDescent="0.3">
      <c r="A4" s="3" t="s">
        <v>202</v>
      </c>
      <c r="B4" s="3" t="s">
        <v>218</v>
      </c>
      <c r="C4" s="16">
        <v>1</v>
      </c>
      <c r="D4" s="16">
        <v>0</v>
      </c>
      <c r="E4" s="3" t="s">
        <v>526</v>
      </c>
      <c r="F4" s="3"/>
      <c r="G4" s="3">
        <f t="shared" ref="G4:G67" si="0">ROUNDUP(H4*S4,0)</f>
        <v>0</v>
      </c>
      <c r="H4" s="3">
        <v>0</v>
      </c>
      <c r="I4" s="3">
        <f t="shared" ref="I4:I67" si="1">ROUND((J4*Q4),0)</f>
        <v>1389</v>
      </c>
      <c r="J4" s="3">
        <f t="shared" ref="J4:J67" si="2">ROUND((K4*P4),0)</f>
        <v>1323</v>
      </c>
      <c r="K4" s="7">
        <f t="shared" ref="K4:K67" si="3">ROUND((L4*O4),0)</f>
        <v>1260</v>
      </c>
      <c r="L4" s="1">
        <f t="shared" ref="L4:L67" si="4">ROUND((M4*N4),0)</f>
        <v>1212</v>
      </c>
      <c r="M4" s="1">
        <v>1165</v>
      </c>
      <c r="N4" s="1">
        <v>1.04</v>
      </c>
      <c r="O4" s="1">
        <v>1.04</v>
      </c>
      <c r="P4" s="1">
        <v>1.05</v>
      </c>
      <c r="Q4" s="1">
        <v>1.05</v>
      </c>
      <c r="R4" s="1">
        <v>1.05</v>
      </c>
      <c r="S4" s="1">
        <v>1.05</v>
      </c>
      <c r="T4" s="1">
        <v>1.08</v>
      </c>
      <c r="U4" s="1">
        <v>0</v>
      </c>
      <c r="V4" s="1">
        <v>0</v>
      </c>
      <c r="W4" s="1">
        <f t="shared" ref="W4:W67" si="5">VLOOKUP(V4,$Y$3:$Z$97,2,FALSE)</f>
        <v>0</v>
      </c>
      <c r="X4" s="1">
        <v>1260</v>
      </c>
      <c r="Y4" s="1">
        <v>1323</v>
      </c>
      <c r="Z4" s="1">
        <v>1389</v>
      </c>
    </row>
    <row r="5" spans="1:26" x14ac:dyDescent="0.3">
      <c r="A5" s="3" t="s">
        <v>205</v>
      </c>
      <c r="B5" s="3" t="s">
        <v>221</v>
      </c>
      <c r="C5" s="16">
        <v>2</v>
      </c>
      <c r="D5" s="16">
        <v>0</v>
      </c>
      <c r="E5" s="3" t="s">
        <v>527</v>
      </c>
      <c r="F5" s="3"/>
      <c r="G5" s="3">
        <f t="shared" si="0"/>
        <v>0</v>
      </c>
      <c r="H5" s="3">
        <v>0</v>
      </c>
      <c r="I5" s="3">
        <f t="shared" si="1"/>
        <v>1457</v>
      </c>
      <c r="J5" s="3">
        <f t="shared" si="2"/>
        <v>1388</v>
      </c>
      <c r="K5" s="7">
        <f t="shared" si="3"/>
        <v>1322</v>
      </c>
      <c r="L5" s="1">
        <f t="shared" si="4"/>
        <v>1271</v>
      </c>
      <c r="M5" s="1">
        <v>1222</v>
      </c>
      <c r="N5" s="1">
        <v>1.04</v>
      </c>
      <c r="O5" s="1">
        <v>1.04</v>
      </c>
      <c r="P5" s="1">
        <v>1.05</v>
      </c>
      <c r="Q5" s="1">
        <v>1.05</v>
      </c>
      <c r="R5" s="1">
        <v>1.05</v>
      </c>
      <c r="S5" s="1">
        <v>1.05</v>
      </c>
      <c r="T5" s="1">
        <v>1.08</v>
      </c>
      <c r="U5" s="1">
        <v>0</v>
      </c>
      <c r="V5" s="1">
        <v>0</v>
      </c>
      <c r="W5" s="1">
        <f t="shared" si="5"/>
        <v>0</v>
      </c>
      <c r="X5" s="1">
        <v>1322</v>
      </c>
      <c r="Y5" s="1">
        <v>1388</v>
      </c>
      <c r="Z5" s="1">
        <v>1457</v>
      </c>
    </row>
    <row r="6" spans="1:26" x14ac:dyDescent="0.3">
      <c r="A6" s="3" t="s">
        <v>204</v>
      </c>
      <c r="B6" s="3" t="s">
        <v>220</v>
      </c>
      <c r="C6" s="16">
        <v>1</v>
      </c>
      <c r="D6" s="16">
        <v>0</v>
      </c>
      <c r="E6" s="3" t="s">
        <v>528</v>
      </c>
      <c r="F6" s="3"/>
      <c r="G6" s="3">
        <f t="shared" si="0"/>
        <v>0</v>
      </c>
      <c r="H6" s="3">
        <v>0</v>
      </c>
      <c r="I6" s="3">
        <f t="shared" si="1"/>
        <v>1489</v>
      </c>
      <c r="J6" s="3">
        <f t="shared" si="2"/>
        <v>1418</v>
      </c>
      <c r="K6" s="7">
        <f t="shared" si="3"/>
        <v>1350</v>
      </c>
      <c r="L6" s="1">
        <f t="shared" si="4"/>
        <v>1298</v>
      </c>
      <c r="M6" s="1">
        <v>1248</v>
      </c>
      <c r="N6" s="1">
        <v>1.04</v>
      </c>
      <c r="O6" s="1">
        <v>1.04</v>
      </c>
      <c r="P6" s="1">
        <v>1.05</v>
      </c>
      <c r="Q6" s="1">
        <v>1.05</v>
      </c>
      <c r="R6" s="1">
        <v>1.05</v>
      </c>
      <c r="S6" s="1">
        <v>1.05</v>
      </c>
      <c r="T6" s="1">
        <v>1.08</v>
      </c>
      <c r="U6" s="1">
        <v>0</v>
      </c>
      <c r="V6" s="1">
        <v>0</v>
      </c>
      <c r="W6" s="1">
        <f t="shared" si="5"/>
        <v>0</v>
      </c>
      <c r="X6" s="1">
        <v>1350</v>
      </c>
      <c r="Y6" s="1">
        <v>1418</v>
      </c>
      <c r="Z6" s="1">
        <v>1489</v>
      </c>
    </row>
    <row r="7" spans="1:26" x14ac:dyDescent="0.3">
      <c r="A7" s="3" t="s">
        <v>203</v>
      </c>
      <c r="B7" s="3" t="s">
        <v>219</v>
      </c>
      <c r="C7" s="16">
        <v>1</v>
      </c>
      <c r="D7" s="16">
        <v>0</v>
      </c>
      <c r="E7" s="3" t="s">
        <v>529</v>
      </c>
      <c r="F7" s="3"/>
      <c r="G7" s="3">
        <f t="shared" si="0"/>
        <v>0</v>
      </c>
      <c r="H7" s="3">
        <v>0</v>
      </c>
      <c r="I7" s="3">
        <f t="shared" si="1"/>
        <v>396</v>
      </c>
      <c r="J7" s="3">
        <f t="shared" si="2"/>
        <v>377</v>
      </c>
      <c r="K7" s="7">
        <f t="shared" si="3"/>
        <v>359</v>
      </c>
      <c r="L7" s="1">
        <f t="shared" si="4"/>
        <v>345</v>
      </c>
      <c r="M7" s="1">
        <v>332</v>
      </c>
      <c r="N7" s="1">
        <v>1.04</v>
      </c>
      <c r="O7" s="1">
        <v>1.04</v>
      </c>
      <c r="P7" s="1">
        <v>1.05</v>
      </c>
      <c r="Q7" s="1">
        <v>1.05</v>
      </c>
      <c r="R7" s="1">
        <v>1.05</v>
      </c>
      <c r="S7" s="1">
        <v>1.05</v>
      </c>
      <c r="T7" s="1">
        <v>1.08</v>
      </c>
      <c r="U7" s="1">
        <v>0</v>
      </c>
      <c r="V7" s="1">
        <v>0</v>
      </c>
      <c r="W7" s="1">
        <f t="shared" si="5"/>
        <v>0</v>
      </c>
      <c r="X7" s="1">
        <v>359</v>
      </c>
      <c r="Y7" s="1">
        <v>377</v>
      </c>
      <c r="Z7" s="1">
        <v>396</v>
      </c>
    </row>
    <row r="8" spans="1:26" x14ac:dyDescent="0.3">
      <c r="A8" s="3" t="s">
        <v>163</v>
      </c>
      <c r="B8" s="3" t="s">
        <v>138</v>
      </c>
      <c r="C8" s="16">
        <v>3.75</v>
      </c>
      <c r="D8" s="16">
        <v>1220</v>
      </c>
      <c r="E8" s="3" t="s">
        <v>237</v>
      </c>
      <c r="F8" s="3"/>
      <c r="G8" s="3">
        <f t="shared" si="0"/>
        <v>1129</v>
      </c>
      <c r="H8" s="3">
        <v>1075</v>
      </c>
      <c r="I8" s="3">
        <f t="shared" si="1"/>
        <v>536</v>
      </c>
      <c r="J8" s="3">
        <f t="shared" si="2"/>
        <v>510</v>
      </c>
      <c r="K8" s="7">
        <f t="shared" si="3"/>
        <v>486</v>
      </c>
      <c r="L8" s="1">
        <f t="shared" si="4"/>
        <v>467</v>
      </c>
      <c r="M8" s="1">
        <v>449</v>
      </c>
      <c r="N8" s="1">
        <v>1.04</v>
      </c>
      <c r="O8" s="1">
        <v>1.04</v>
      </c>
      <c r="P8" s="1">
        <v>1.05</v>
      </c>
      <c r="Q8" s="1">
        <v>1.05</v>
      </c>
      <c r="R8" s="1">
        <v>1.05</v>
      </c>
      <c r="S8" s="1">
        <v>1.05</v>
      </c>
      <c r="T8" s="1">
        <v>1.08</v>
      </c>
      <c r="U8" s="1">
        <v>928</v>
      </c>
      <c r="V8" s="1">
        <v>974</v>
      </c>
      <c r="W8" s="1">
        <f t="shared" si="5"/>
        <v>1023</v>
      </c>
      <c r="X8" s="1">
        <v>486</v>
      </c>
      <c r="Y8" s="1">
        <v>510</v>
      </c>
      <c r="Z8" s="1">
        <v>536</v>
      </c>
    </row>
    <row r="9" spans="1:26" x14ac:dyDescent="0.3">
      <c r="A9" s="16" t="s">
        <v>164</v>
      </c>
      <c r="B9" s="16" t="s">
        <v>133</v>
      </c>
      <c r="C9" s="16">
        <v>0</v>
      </c>
      <c r="D9" s="16">
        <v>2892</v>
      </c>
      <c r="E9" s="16" t="s">
        <v>152</v>
      </c>
      <c r="F9" s="16"/>
      <c r="G9" s="3">
        <f t="shared" si="0"/>
        <v>2677</v>
      </c>
      <c r="H9" s="3">
        <v>2549</v>
      </c>
      <c r="I9" s="3">
        <f t="shared" si="1"/>
        <v>587</v>
      </c>
      <c r="J9" s="3">
        <f t="shared" si="2"/>
        <v>559</v>
      </c>
      <c r="K9" s="7">
        <f t="shared" si="3"/>
        <v>532</v>
      </c>
      <c r="L9" s="1">
        <f t="shared" si="4"/>
        <v>512</v>
      </c>
      <c r="M9" s="1">
        <v>492</v>
      </c>
      <c r="N9" s="1">
        <v>1.04</v>
      </c>
      <c r="O9" s="1">
        <v>1.04</v>
      </c>
      <c r="P9" s="1">
        <v>1.05</v>
      </c>
      <c r="Q9" s="1">
        <v>1.05</v>
      </c>
      <c r="R9" s="1">
        <v>1.05</v>
      </c>
      <c r="S9" s="1">
        <v>1.05</v>
      </c>
      <c r="T9" s="1">
        <v>1.08</v>
      </c>
      <c r="U9" s="1">
        <v>2201</v>
      </c>
      <c r="V9" s="1">
        <v>2311</v>
      </c>
      <c r="W9" s="1">
        <f t="shared" si="5"/>
        <v>2427</v>
      </c>
      <c r="X9" s="1">
        <v>532</v>
      </c>
      <c r="Y9" s="1">
        <v>559</v>
      </c>
      <c r="Z9" s="1">
        <v>587</v>
      </c>
    </row>
    <row r="10" spans="1:26" x14ac:dyDescent="0.3">
      <c r="A10" s="16" t="s">
        <v>206</v>
      </c>
      <c r="B10" s="16" t="s">
        <v>222</v>
      </c>
      <c r="C10" s="16">
        <v>1.5</v>
      </c>
      <c r="D10" s="16">
        <v>0</v>
      </c>
      <c r="E10" s="16" t="s">
        <v>526</v>
      </c>
      <c r="F10" s="16"/>
      <c r="G10" s="3">
        <f t="shared" si="0"/>
        <v>0</v>
      </c>
      <c r="H10" s="3">
        <v>0</v>
      </c>
      <c r="I10" s="3">
        <f t="shared" si="1"/>
        <v>655</v>
      </c>
      <c r="J10" s="3">
        <f t="shared" si="2"/>
        <v>624</v>
      </c>
      <c r="K10" s="7">
        <f t="shared" si="3"/>
        <v>594</v>
      </c>
      <c r="L10" s="1">
        <f t="shared" si="4"/>
        <v>571</v>
      </c>
      <c r="M10" s="1">
        <v>549</v>
      </c>
      <c r="N10" s="1">
        <v>1.04</v>
      </c>
      <c r="O10" s="1">
        <v>1.04</v>
      </c>
      <c r="P10" s="1">
        <v>1.05</v>
      </c>
      <c r="Q10" s="1">
        <v>1.05</v>
      </c>
      <c r="R10" s="1">
        <v>1.05</v>
      </c>
      <c r="S10" s="1">
        <v>1.05</v>
      </c>
      <c r="T10" s="1">
        <v>1.08</v>
      </c>
      <c r="U10" s="1">
        <v>0</v>
      </c>
      <c r="V10" s="1">
        <v>0</v>
      </c>
      <c r="W10" s="1">
        <f t="shared" si="5"/>
        <v>0</v>
      </c>
      <c r="X10" s="1">
        <v>594</v>
      </c>
      <c r="Y10" s="1">
        <v>624</v>
      </c>
      <c r="Z10" s="1">
        <v>655</v>
      </c>
    </row>
    <row r="11" spans="1:26" x14ac:dyDescent="0.3">
      <c r="A11" s="16" t="s">
        <v>209</v>
      </c>
      <c r="B11" s="16" t="s">
        <v>225</v>
      </c>
      <c r="C11" s="16">
        <v>4</v>
      </c>
      <c r="D11" s="16">
        <v>0</v>
      </c>
      <c r="E11" s="16" t="s">
        <v>527</v>
      </c>
      <c r="F11" s="16"/>
      <c r="G11" s="3">
        <f t="shared" si="0"/>
        <v>0</v>
      </c>
      <c r="H11" s="3">
        <v>0</v>
      </c>
      <c r="I11" s="3">
        <f t="shared" si="1"/>
        <v>764</v>
      </c>
      <c r="J11" s="3">
        <f t="shared" si="2"/>
        <v>728</v>
      </c>
      <c r="K11" s="7">
        <f t="shared" si="3"/>
        <v>693</v>
      </c>
      <c r="L11" s="1">
        <f>ROUND((M11*N11),0)</f>
        <v>666</v>
      </c>
      <c r="M11" s="1">
        <v>640</v>
      </c>
      <c r="N11" s="1">
        <v>1.04</v>
      </c>
      <c r="O11" s="1">
        <v>1.04</v>
      </c>
      <c r="P11" s="1">
        <v>1.05</v>
      </c>
      <c r="Q11" s="1">
        <v>1.05</v>
      </c>
      <c r="R11" s="1">
        <v>1.05</v>
      </c>
      <c r="S11" s="1">
        <v>1.05</v>
      </c>
      <c r="T11" s="1">
        <v>1.08</v>
      </c>
      <c r="U11" s="1">
        <v>0</v>
      </c>
      <c r="V11" s="1">
        <v>0</v>
      </c>
      <c r="W11" s="1">
        <f t="shared" si="5"/>
        <v>0</v>
      </c>
      <c r="X11" s="1">
        <v>693</v>
      </c>
      <c r="Y11" s="1">
        <v>728</v>
      </c>
      <c r="Z11" s="1">
        <v>764</v>
      </c>
    </row>
    <row r="12" spans="1:26" x14ac:dyDescent="0.3">
      <c r="A12" s="16" t="s">
        <v>208</v>
      </c>
      <c r="B12" s="16" t="s">
        <v>224</v>
      </c>
      <c r="C12" s="16">
        <v>1.75</v>
      </c>
      <c r="D12" s="16">
        <v>0</v>
      </c>
      <c r="E12" s="16" t="s">
        <v>528</v>
      </c>
      <c r="F12" s="16"/>
      <c r="G12" s="3">
        <f t="shared" si="0"/>
        <v>0</v>
      </c>
      <c r="H12" s="3">
        <v>0</v>
      </c>
      <c r="I12" s="3">
        <f t="shared" si="1"/>
        <v>1389</v>
      </c>
      <c r="J12" s="3">
        <f t="shared" si="2"/>
        <v>1323</v>
      </c>
      <c r="K12" s="7">
        <f t="shared" si="3"/>
        <v>1260</v>
      </c>
      <c r="L12" s="1">
        <f t="shared" si="4"/>
        <v>1212</v>
      </c>
      <c r="M12" s="1">
        <v>1165</v>
      </c>
      <c r="N12" s="1">
        <v>1.04</v>
      </c>
      <c r="O12" s="1">
        <v>1.04</v>
      </c>
      <c r="P12" s="1">
        <v>1.05</v>
      </c>
      <c r="Q12" s="1">
        <v>1.05</v>
      </c>
      <c r="R12" s="1">
        <v>1.05</v>
      </c>
      <c r="S12" s="1">
        <v>1.05</v>
      </c>
      <c r="T12" s="1">
        <v>1.08</v>
      </c>
      <c r="U12" s="1">
        <v>0</v>
      </c>
      <c r="V12" s="1">
        <v>0</v>
      </c>
      <c r="W12" s="1">
        <f t="shared" si="5"/>
        <v>0</v>
      </c>
      <c r="X12" s="1">
        <v>1260</v>
      </c>
      <c r="Y12" s="1">
        <v>1323</v>
      </c>
      <c r="Z12" s="1">
        <v>1389</v>
      </c>
    </row>
    <row r="13" spans="1:26" x14ac:dyDescent="0.3">
      <c r="A13" s="16" t="s">
        <v>207</v>
      </c>
      <c r="B13" s="16" t="s">
        <v>223</v>
      </c>
      <c r="C13" s="16">
        <v>1.75</v>
      </c>
      <c r="D13" s="16">
        <v>0</v>
      </c>
      <c r="E13" s="16" t="s">
        <v>529</v>
      </c>
      <c r="F13" s="16"/>
      <c r="G13" s="3">
        <f t="shared" si="0"/>
        <v>0</v>
      </c>
      <c r="H13" s="3">
        <v>0</v>
      </c>
      <c r="I13" s="3">
        <f t="shared" si="1"/>
        <v>1457</v>
      </c>
      <c r="J13" s="3">
        <f t="shared" si="2"/>
        <v>1388</v>
      </c>
      <c r="K13" s="7">
        <f t="shared" si="3"/>
        <v>1322</v>
      </c>
      <c r="L13" s="1">
        <f t="shared" si="4"/>
        <v>1271</v>
      </c>
      <c r="M13" s="1">
        <v>1222</v>
      </c>
      <c r="N13" s="1">
        <v>1.04</v>
      </c>
      <c r="O13" s="1">
        <v>1.04</v>
      </c>
      <c r="P13" s="1">
        <v>1.05</v>
      </c>
      <c r="Q13" s="1">
        <v>1.05</v>
      </c>
      <c r="R13" s="1">
        <v>1.05</v>
      </c>
      <c r="S13" s="1">
        <v>1.05</v>
      </c>
      <c r="T13" s="1">
        <v>1.08</v>
      </c>
      <c r="U13" s="1">
        <v>0</v>
      </c>
      <c r="V13" s="1">
        <v>0</v>
      </c>
      <c r="W13" s="1">
        <f t="shared" si="5"/>
        <v>0</v>
      </c>
      <c r="X13" s="1">
        <v>1322</v>
      </c>
      <c r="Y13" s="1">
        <v>1388</v>
      </c>
      <c r="Z13" s="1">
        <v>1457</v>
      </c>
    </row>
    <row r="14" spans="1:26" x14ac:dyDescent="0.3">
      <c r="A14" s="3" t="s">
        <v>165</v>
      </c>
      <c r="B14" s="3" t="s">
        <v>134</v>
      </c>
      <c r="C14" s="16">
        <v>0</v>
      </c>
      <c r="D14" s="16">
        <v>2848</v>
      </c>
      <c r="E14" s="3" t="s">
        <v>152</v>
      </c>
      <c r="F14" s="3"/>
      <c r="G14" s="3">
        <f t="shared" si="0"/>
        <v>2637</v>
      </c>
      <c r="H14" s="3">
        <v>2511</v>
      </c>
      <c r="I14" s="3">
        <f t="shared" si="1"/>
        <v>1489</v>
      </c>
      <c r="J14" s="3">
        <f t="shared" si="2"/>
        <v>1418</v>
      </c>
      <c r="K14" s="7">
        <f t="shared" si="3"/>
        <v>1350</v>
      </c>
      <c r="L14" s="1">
        <f t="shared" si="4"/>
        <v>1298</v>
      </c>
      <c r="M14" s="1">
        <v>1248</v>
      </c>
      <c r="N14" s="1">
        <v>1.04</v>
      </c>
      <c r="O14" s="1">
        <v>1.04</v>
      </c>
      <c r="P14" s="1">
        <v>1.05</v>
      </c>
      <c r="Q14" s="1">
        <v>1.05</v>
      </c>
      <c r="R14" s="1">
        <v>1.05</v>
      </c>
      <c r="S14" s="1">
        <v>1.05</v>
      </c>
      <c r="T14" s="1">
        <v>1.08</v>
      </c>
      <c r="U14" s="1">
        <v>2169</v>
      </c>
      <c r="V14" s="1">
        <v>2277</v>
      </c>
      <c r="W14" s="1">
        <f t="shared" si="5"/>
        <v>2391</v>
      </c>
      <c r="X14" s="1">
        <v>1350</v>
      </c>
      <c r="Y14" s="1">
        <v>1418</v>
      </c>
      <c r="Z14" s="1">
        <v>1489</v>
      </c>
    </row>
    <row r="15" spans="1:26" x14ac:dyDescent="0.3">
      <c r="A15" s="3" t="s">
        <v>210</v>
      </c>
      <c r="B15" s="3" t="s">
        <v>226</v>
      </c>
      <c r="C15" s="16">
        <v>1.75</v>
      </c>
      <c r="D15" s="16" t="e">
        <v>#VALUE!</v>
      </c>
      <c r="E15" s="3" t="s">
        <v>526</v>
      </c>
      <c r="F15" s="3"/>
      <c r="G15" s="3" t="e">
        <f t="shared" si="0"/>
        <v>#VALUE!</v>
      </c>
      <c r="H15" s="3" t="s">
        <v>945</v>
      </c>
      <c r="I15" s="3">
        <f t="shared" si="1"/>
        <v>764</v>
      </c>
      <c r="J15" s="3">
        <f t="shared" si="2"/>
        <v>728</v>
      </c>
      <c r="K15" s="7">
        <f t="shared" si="3"/>
        <v>693</v>
      </c>
      <c r="L15" s="1">
        <f t="shared" si="4"/>
        <v>666</v>
      </c>
      <c r="M15" s="1">
        <v>640</v>
      </c>
      <c r="N15" s="1">
        <v>1.04</v>
      </c>
      <c r="O15" s="1">
        <v>1.04</v>
      </c>
      <c r="P15" s="1">
        <v>1.05</v>
      </c>
      <c r="Q15" s="1">
        <v>1.05</v>
      </c>
      <c r="R15" s="1">
        <v>1.05</v>
      </c>
      <c r="S15" s="1">
        <v>1.05</v>
      </c>
      <c r="T15" s="1">
        <v>1.08</v>
      </c>
      <c r="U15" s="1">
        <v>0</v>
      </c>
      <c r="V15" s="1">
        <v>0</v>
      </c>
      <c r="W15" s="1">
        <f t="shared" si="5"/>
        <v>0</v>
      </c>
      <c r="X15" s="1">
        <v>693</v>
      </c>
      <c r="Y15" s="1">
        <v>728</v>
      </c>
      <c r="Z15" s="1">
        <v>764</v>
      </c>
    </row>
    <row r="16" spans="1:26" x14ac:dyDescent="0.3">
      <c r="A16" s="3" t="s">
        <v>213</v>
      </c>
      <c r="B16" s="3" t="s">
        <v>229</v>
      </c>
      <c r="C16" s="16">
        <v>4</v>
      </c>
      <c r="D16" s="16">
        <v>0</v>
      </c>
      <c r="E16" s="3" t="s">
        <v>527</v>
      </c>
      <c r="F16" s="3"/>
      <c r="G16" s="3">
        <f t="shared" si="0"/>
        <v>0</v>
      </c>
      <c r="H16" s="3">
        <v>0</v>
      </c>
      <c r="I16" s="3">
        <f t="shared" si="1"/>
        <v>1389</v>
      </c>
      <c r="J16" s="3">
        <f t="shared" si="2"/>
        <v>1323</v>
      </c>
      <c r="K16" s="7">
        <f t="shared" si="3"/>
        <v>1260</v>
      </c>
      <c r="L16" s="1">
        <f t="shared" si="4"/>
        <v>1212</v>
      </c>
      <c r="M16" s="1">
        <v>1165</v>
      </c>
      <c r="N16" s="1">
        <v>1.04</v>
      </c>
      <c r="O16" s="1">
        <v>1.04</v>
      </c>
      <c r="P16" s="1">
        <v>1.05</v>
      </c>
      <c r="Q16" s="1">
        <v>1.05</v>
      </c>
      <c r="R16" s="1">
        <v>1.05</v>
      </c>
      <c r="S16" s="1">
        <v>1.05</v>
      </c>
      <c r="T16" s="1">
        <v>1.08</v>
      </c>
      <c r="U16" s="1">
        <v>0</v>
      </c>
      <c r="V16" s="1">
        <v>0</v>
      </c>
      <c r="W16" s="1">
        <f t="shared" si="5"/>
        <v>0</v>
      </c>
      <c r="X16" s="1">
        <v>1260</v>
      </c>
      <c r="Y16" s="1">
        <v>1323</v>
      </c>
      <c r="Z16" s="1">
        <v>1389</v>
      </c>
    </row>
    <row r="17" spans="1:26" x14ac:dyDescent="0.3">
      <c r="A17" s="3" t="s">
        <v>212</v>
      </c>
      <c r="B17" s="3" t="s">
        <v>228</v>
      </c>
      <c r="C17" s="16">
        <v>1.75</v>
      </c>
      <c r="D17" s="16">
        <v>0</v>
      </c>
      <c r="E17" s="3" t="s">
        <v>528</v>
      </c>
      <c r="F17" s="3"/>
      <c r="G17" s="3">
        <f t="shared" si="0"/>
        <v>0</v>
      </c>
      <c r="H17" s="3">
        <v>0</v>
      </c>
      <c r="I17" s="3">
        <f t="shared" si="1"/>
        <v>1457</v>
      </c>
      <c r="J17" s="3">
        <f t="shared" si="2"/>
        <v>1388</v>
      </c>
      <c r="K17" s="7">
        <f t="shared" si="3"/>
        <v>1322</v>
      </c>
      <c r="L17" s="1">
        <f t="shared" si="4"/>
        <v>1271</v>
      </c>
      <c r="M17" s="1">
        <v>1222</v>
      </c>
      <c r="N17" s="1">
        <v>1.04</v>
      </c>
      <c r="O17" s="1">
        <v>1.04</v>
      </c>
      <c r="P17" s="1">
        <v>1.05</v>
      </c>
      <c r="Q17" s="1">
        <v>1.05</v>
      </c>
      <c r="R17" s="1">
        <v>1.05</v>
      </c>
      <c r="S17" s="1">
        <v>1.05</v>
      </c>
      <c r="T17" s="1">
        <v>1.08</v>
      </c>
      <c r="U17" s="1">
        <v>0</v>
      </c>
      <c r="V17" s="1">
        <v>0</v>
      </c>
      <c r="W17" s="1">
        <f t="shared" si="5"/>
        <v>0</v>
      </c>
      <c r="X17" s="1">
        <v>1322</v>
      </c>
      <c r="Y17" s="1">
        <v>1388</v>
      </c>
      <c r="Z17" s="1">
        <v>1457</v>
      </c>
    </row>
    <row r="18" spans="1:26" x14ac:dyDescent="0.3">
      <c r="A18" s="3" t="s">
        <v>211</v>
      </c>
      <c r="B18" s="3" t="s">
        <v>227</v>
      </c>
      <c r="C18" s="16">
        <v>1.75</v>
      </c>
      <c r="D18" s="16">
        <v>0</v>
      </c>
      <c r="E18" s="3" t="s">
        <v>529</v>
      </c>
      <c r="F18" s="3"/>
      <c r="G18" s="3">
        <f t="shared" si="0"/>
        <v>0</v>
      </c>
      <c r="H18" s="3">
        <v>0</v>
      </c>
      <c r="I18" s="3">
        <f t="shared" si="1"/>
        <v>1489</v>
      </c>
      <c r="J18" s="3">
        <f t="shared" si="2"/>
        <v>1418</v>
      </c>
      <c r="K18" s="7">
        <f t="shared" si="3"/>
        <v>1350</v>
      </c>
      <c r="L18" s="1">
        <f t="shared" si="4"/>
        <v>1298</v>
      </c>
      <c r="M18" s="1">
        <v>1248</v>
      </c>
      <c r="N18" s="1">
        <v>1.04</v>
      </c>
      <c r="O18" s="1">
        <v>1.04</v>
      </c>
      <c r="P18" s="1">
        <v>1.05</v>
      </c>
      <c r="Q18" s="1">
        <v>1.05</v>
      </c>
      <c r="R18" s="1">
        <v>1.05</v>
      </c>
      <c r="S18" s="1">
        <v>1.05</v>
      </c>
      <c r="T18" s="1">
        <v>1.08</v>
      </c>
      <c r="U18" s="1">
        <v>0</v>
      </c>
      <c r="V18" s="1">
        <v>0</v>
      </c>
      <c r="W18" s="1">
        <f t="shared" si="5"/>
        <v>0</v>
      </c>
      <c r="X18" s="1">
        <v>1350</v>
      </c>
      <c r="Y18" s="1">
        <v>1418</v>
      </c>
      <c r="Z18" s="1">
        <v>1489</v>
      </c>
    </row>
    <row r="19" spans="1:26" x14ac:dyDescent="0.3">
      <c r="A19" s="3" t="s">
        <v>166</v>
      </c>
      <c r="B19" s="3" t="s">
        <v>402</v>
      </c>
      <c r="C19" s="16">
        <v>1.75</v>
      </c>
      <c r="D19" s="16">
        <v>1131</v>
      </c>
      <c r="E19" s="3" t="s">
        <v>101</v>
      </c>
      <c r="F19" s="3"/>
      <c r="G19" s="3">
        <f t="shared" si="0"/>
        <v>1047</v>
      </c>
      <c r="H19" s="3">
        <v>997</v>
      </c>
      <c r="I19" s="3">
        <f t="shared" si="1"/>
        <v>1023</v>
      </c>
      <c r="J19" s="3">
        <f t="shared" si="2"/>
        <v>974</v>
      </c>
      <c r="K19" s="7">
        <f t="shared" si="3"/>
        <v>928</v>
      </c>
      <c r="L19" s="1">
        <f t="shared" si="4"/>
        <v>892</v>
      </c>
      <c r="M19" s="1">
        <v>858</v>
      </c>
      <c r="N19" s="1">
        <v>1.04</v>
      </c>
      <c r="O19" s="1">
        <v>1.04</v>
      </c>
      <c r="P19" s="1">
        <v>1.05</v>
      </c>
      <c r="Q19" s="1">
        <v>1.05</v>
      </c>
      <c r="R19" s="1">
        <v>1.05</v>
      </c>
      <c r="S19" s="1">
        <v>1.05</v>
      </c>
      <c r="T19" s="1">
        <v>1.08</v>
      </c>
      <c r="U19" s="1">
        <v>861</v>
      </c>
      <c r="V19" s="1">
        <v>904</v>
      </c>
      <c r="W19" s="1">
        <f t="shared" si="5"/>
        <v>949</v>
      </c>
      <c r="X19" s="1">
        <v>928</v>
      </c>
      <c r="Y19" s="1">
        <v>974</v>
      </c>
      <c r="Z19" s="1">
        <v>1023</v>
      </c>
    </row>
    <row r="20" spans="1:26" x14ac:dyDescent="0.3">
      <c r="A20" s="3" t="s">
        <v>167</v>
      </c>
      <c r="B20" s="3" t="s">
        <v>139</v>
      </c>
      <c r="C20" s="16">
        <v>4.5</v>
      </c>
      <c r="D20" s="16">
        <v>1415</v>
      </c>
      <c r="E20" s="3" t="s">
        <v>237</v>
      </c>
      <c r="F20" s="3"/>
      <c r="G20" s="3">
        <f t="shared" si="0"/>
        <v>1310</v>
      </c>
      <c r="H20" s="3">
        <v>1247</v>
      </c>
      <c r="I20" s="3">
        <f t="shared" si="1"/>
        <v>1187</v>
      </c>
      <c r="J20" s="3">
        <f t="shared" si="2"/>
        <v>1130</v>
      </c>
      <c r="K20" s="7">
        <f t="shared" si="3"/>
        <v>1076</v>
      </c>
      <c r="L20" s="1">
        <f t="shared" si="4"/>
        <v>1035</v>
      </c>
      <c r="M20" s="1">
        <v>995</v>
      </c>
      <c r="N20" s="1">
        <v>1.04</v>
      </c>
      <c r="O20" s="1">
        <v>1.04</v>
      </c>
      <c r="P20" s="1">
        <v>1.05</v>
      </c>
      <c r="Q20" s="1">
        <v>1.05</v>
      </c>
      <c r="R20" s="1">
        <v>1.05</v>
      </c>
      <c r="S20" s="1">
        <v>1.05</v>
      </c>
      <c r="T20" s="1">
        <v>1.08</v>
      </c>
      <c r="U20" s="1">
        <v>1076</v>
      </c>
      <c r="V20" s="1">
        <v>1130</v>
      </c>
      <c r="W20" s="1">
        <f t="shared" si="5"/>
        <v>1187</v>
      </c>
      <c r="X20" s="1">
        <v>1076</v>
      </c>
      <c r="Y20" s="1">
        <v>1130</v>
      </c>
      <c r="Z20" s="1">
        <v>1187</v>
      </c>
    </row>
    <row r="21" spans="1:26" x14ac:dyDescent="0.3">
      <c r="A21" s="3" t="s">
        <v>168</v>
      </c>
      <c r="B21" s="3" t="s">
        <v>403</v>
      </c>
      <c r="C21" s="16">
        <v>3.5</v>
      </c>
      <c r="D21" s="16">
        <v>1052</v>
      </c>
      <c r="E21" s="3" t="s">
        <v>101</v>
      </c>
      <c r="F21" s="3"/>
      <c r="G21" s="3">
        <f t="shared" si="0"/>
        <v>974</v>
      </c>
      <c r="H21" s="3">
        <v>927</v>
      </c>
      <c r="I21" s="3">
        <f t="shared" si="1"/>
        <v>1213</v>
      </c>
      <c r="J21" s="3">
        <f t="shared" si="2"/>
        <v>1155</v>
      </c>
      <c r="K21" s="7">
        <f t="shared" si="3"/>
        <v>1100</v>
      </c>
      <c r="L21" s="1">
        <f t="shared" si="4"/>
        <v>1058</v>
      </c>
      <c r="M21" s="1">
        <v>1017</v>
      </c>
      <c r="N21" s="1">
        <v>1.04</v>
      </c>
      <c r="O21" s="1">
        <v>1.04</v>
      </c>
      <c r="P21" s="1">
        <v>1.05</v>
      </c>
      <c r="Q21" s="1">
        <v>1.05</v>
      </c>
      <c r="R21" s="1">
        <v>1.05</v>
      </c>
      <c r="S21" s="1">
        <v>1.05</v>
      </c>
      <c r="T21" s="1">
        <v>1.08</v>
      </c>
      <c r="U21" s="1">
        <v>800</v>
      </c>
      <c r="V21" s="1">
        <v>840</v>
      </c>
      <c r="W21" s="1">
        <f t="shared" si="5"/>
        <v>882</v>
      </c>
      <c r="X21" s="1">
        <v>1100</v>
      </c>
      <c r="Y21" s="1">
        <v>1155</v>
      </c>
      <c r="Z21" s="1">
        <v>1213</v>
      </c>
    </row>
    <row r="22" spans="1:26" x14ac:dyDescent="0.3">
      <c r="A22" s="16" t="s">
        <v>169</v>
      </c>
      <c r="B22" s="16" t="s">
        <v>137</v>
      </c>
      <c r="C22" s="16">
        <v>0</v>
      </c>
      <c r="D22" s="16">
        <v>3523</v>
      </c>
      <c r="E22" s="16" t="s">
        <v>152</v>
      </c>
      <c r="F22" s="16"/>
      <c r="G22" s="3">
        <f t="shared" si="0"/>
        <v>3262</v>
      </c>
      <c r="H22" s="3">
        <v>3106</v>
      </c>
      <c r="I22" s="3">
        <f t="shared" si="1"/>
        <v>1790</v>
      </c>
      <c r="J22" s="3">
        <f t="shared" si="2"/>
        <v>1705</v>
      </c>
      <c r="K22" s="7">
        <f t="shared" si="3"/>
        <v>1624</v>
      </c>
      <c r="L22" s="1">
        <f t="shared" si="4"/>
        <v>1562</v>
      </c>
      <c r="M22" s="1">
        <v>1501.5</v>
      </c>
      <c r="N22" s="1">
        <v>1.04</v>
      </c>
      <c r="O22" s="1">
        <v>1.04</v>
      </c>
      <c r="P22" s="1">
        <v>1.05</v>
      </c>
      <c r="Q22" s="1">
        <v>1.05</v>
      </c>
      <c r="R22" s="1">
        <v>1.05</v>
      </c>
      <c r="S22" s="1">
        <v>1.05</v>
      </c>
      <c r="T22" s="1">
        <v>1.08</v>
      </c>
      <c r="U22" s="1">
        <v>2683</v>
      </c>
      <c r="V22" s="1">
        <v>2817</v>
      </c>
      <c r="W22" s="1">
        <f t="shared" si="5"/>
        <v>2958</v>
      </c>
      <c r="X22" s="1">
        <v>1624</v>
      </c>
      <c r="Y22" s="1">
        <v>1705</v>
      </c>
      <c r="Z22" s="1">
        <v>1790</v>
      </c>
    </row>
    <row r="23" spans="1:26" x14ac:dyDescent="0.3">
      <c r="A23" s="16" t="s">
        <v>214</v>
      </c>
      <c r="B23" s="16" t="s">
        <v>230</v>
      </c>
      <c r="C23" s="16">
        <v>2</v>
      </c>
      <c r="D23" s="16">
        <v>0</v>
      </c>
      <c r="E23" s="16" t="s">
        <v>526</v>
      </c>
      <c r="F23" s="16"/>
      <c r="G23" s="3">
        <f t="shared" si="0"/>
        <v>0</v>
      </c>
      <c r="H23" s="3">
        <v>0</v>
      </c>
      <c r="I23" s="3">
        <f t="shared" si="1"/>
        <v>2427</v>
      </c>
      <c r="J23" s="3">
        <f t="shared" si="2"/>
        <v>2311</v>
      </c>
      <c r="K23" s="7">
        <f t="shared" si="3"/>
        <v>2201</v>
      </c>
      <c r="L23" s="1">
        <f t="shared" si="4"/>
        <v>2116</v>
      </c>
      <c r="M23" s="1">
        <v>2035</v>
      </c>
      <c r="N23" s="1">
        <v>1.04</v>
      </c>
      <c r="O23" s="1">
        <v>1.04</v>
      </c>
      <c r="P23" s="1">
        <v>1.05</v>
      </c>
      <c r="Q23" s="1">
        <v>1.05</v>
      </c>
      <c r="R23" s="1">
        <v>1.05</v>
      </c>
      <c r="S23" s="1">
        <v>1.05</v>
      </c>
      <c r="T23" s="1">
        <v>1.08</v>
      </c>
      <c r="U23" s="1">
        <v>0</v>
      </c>
      <c r="V23" s="1">
        <v>0</v>
      </c>
      <c r="W23" s="1">
        <f t="shared" si="5"/>
        <v>0</v>
      </c>
      <c r="X23" s="1">
        <v>2201</v>
      </c>
      <c r="Y23" s="1">
        <v>2311</v>
      </c>
      <c r="Z23" s="1">
        <v>2427</v>
      </c>
    </row>
    <row r="24" spans="1:26" x14ac:dyDescent="0.3">
      <c r="A24" s="16" t="s">
        <v>217</v>
      </c>
      <c r="B24" s="16" t="s">
        <v>233</v>
      </c>
      <c r="C24" s="16">
        <v>4.5</v>
      </c>
      <c r="D24" s="16">
        <v>0</v>
      </c>
      <c r="E24" s="16" t="s">
        <v>527</v>
      </c>
      <c r="F24" s="16"/>
      <c r="G24" s="3">
        <f t="shared" si="0"/>
        <v>0</v>
      </c>
      <c r="H24" s="3">
        <v>0</v>
      </c>
      <c r="I24" s="3">
        <f t="shared" si="1"/>
        <v>2391</v>
      </c>
      <c r="J24" s="3">
        <f t="shared" si="2"/>
        <v>2277</v>
      </c>
      <c r="K24" s="7">
        <f t="shared" si="3"/>
        <v>2169</v>
      </c>
      <c r="L24" s="1">
        <f t="shared" si="4"/>
        <v>2086</v>
      </c>
      <c r="M24" s="1">
        <v>2006</v>
      </c>
      <c r="N24" s="1">
        <v>1.04</v>
      </c>
      <c r="O24" s="1">
        <v>1.04</v>
      </c>
      <c r="P24" s="1">
        <v>1.05</v>
      </c>
      <c r="Q24" s="1">
        <v>1.05</v>
      </c>
      <c r="R24" s="1">
        <v>1.05</v>
      </c>
      <c r="S24" s="1">
        <v>1.05</v>
      </c>
      <c r="T24" s="1">
        <v>1.08</v>
      </c>
      <c r="U24" s="1">
        <v>0</v>
      </c>
      <c r="V24" s="1">
        <v>0</v>
      </c>
      <c r="W24" s="1">
        <f t="shared" si="5"/>
        <v>0</v>
      </c>
      <c r="X24" s="1">
        <v>2169</v>
      </c>
      <c r="Y24" s="1">
        <v>2277</v>
      </c>
      <c r="Z24" s="1">
        <v>2391</v>
      </c>
    </row>
    <row r="25" spans="1:26" x14ac:dyDescent="0.3">
      <c r="A25" s="16" t="s">
        <v>216</v>
      </c>
      <c r="B25" s="16" t="s">
        <v>232</v>
      </c>
      <c r="C25" s="16">
        <v>2</v>
      </c>
      <c r="D25" s="16">
        <v>0</v>
      </c>
      <c r="E25" s="16" t="s">
        <v>528</v>
      </c>
      <c r="F25" s="16"/>
      <c r="G25" s="3">
        <f t="shared" si="0"/>
        <v>0</v>
      </c>
      <c r="H25" s="3">
        <v>0</v>
      </c>
      <c r="I25" s="3">
        <f t="shared" si="1"/>
        <v>2958</v>
      </c>
      <c r="J25" s="3">
        <f t="shared" si="2"/>
        <v>2817</v>
      </c>
      <c r="K25" s="7">
        <f t="shared" si="3"/>
        <v>2683</v>
      </c>
      <c r="L25" s="1">
        <f t="shared" si="4"/>
        <v>2580</v>
      </c>
      <c r="M25" s="1">
        <v>2481</v>
      </c>
      <c r="N25" s="1">
        <v>1.04</v>
      </c>
      <c r="O25" s="1">
        <v>1.04</v>
      </c>
      <c r="P25" s="1">
        <v>1.05</v>
      </c>
      <c r="Q25" s="1">
        <v>1.05</v>
      </c>
      <c r="R25" s="1">
        <v>1.05</v>
      </c>
      <c r="S25" s="1">
        <v>1.05</v>
      </c>
      <c r="T25" s="1">
        <v>1.08</v>
      </c>
      <c r="U25" s="1">
        <v>0</v>
      </c>
      <c r="V25" s="1">
        <v>0</v>
      </c>
      <c r="W25" s="1">
        <f t="shared" si="5"/>
        <v>0</v>
      </c>
      <c r="X25" s="1">
        <v>2683</v>
      </c>
      <c r="Y25" s="1">
        <v>2817</v>
      </c>
      <c r="Z25" s="1">
        <v>2958</v>
      </c>
    </row>
    <row r="26" spans="1:26" x14ac:dyDescent="0.3">
      <c r="A26" s="16" t="s">
        <v>215</v>
      </c>
      <c r="B26" s="16" t="s">
        <v>231</v>
      </c>
      <c r="C26" s="16">
        <v>2</v>
      </c>
      <c r="D26" s="16">
        <v>0</v>
      </c>
      <c r="E26" s="16" t="s">
        <v>529</v>
      </c>
      <c r="F26" s="16"/>
      <c r="G26" s="3">
        <f t="shared" si="0"/>
        <v>0</v>
      </c>
      <c r="H26" s="3">
        <v>0</v>
      </c>
      <c r="I26" s="3">
        <f t="shared" si="1"/>
        <v>0</v>
      </c>
      <c r="J26" s="3">
        <f t="shared" si="2"/>
        <v>0</v>
      </c>
      <c r="K26" s="7">
        <f t="shared" si="3"/>
        <v>0</v>
      </c>
      <c r="L26" s="1">
        <f t="shared" si="4"/>
        <v>0</v>
      </c>
      <c r="M26" s="1">
        <v>0</v>
      </c>
      <c r="N26" s="1">
        <v>1.04</v>
      </c>
      <c r="O26" s="1">
        <v>1.04</v>
      </c>
      <c r="P26" s="1">
        <v>1.05</v>
      </c>
      <c r="Q26" s="1">
        <v>1.05</v>
      </c>
      <c r="R26" s="1">
        <v>1.05</v>
      </c>
      <c r="S26" s="1">
        <v>1.05</v>
      </c>
      <c r="T26" s="1">
        <v>1.08</v>
      </c>
      <c r="U26" s="1">
        <v>0</v>
      </c>
      <c r="V26" s="1">
        <v>0</v>
      </c>
      <c r="W26" s="1">
        <f t="shared" si="5"/>
        <v>0</v>
      </c>
      <c r="X26" s="1">
        <v>0</v>
      </c>
      <c r="Y26" s="1">
        <v>0</v>
      </c>
      <c r="Z26" s="1">
        <v>0</v>
      </c>
    </row>
    <row r="27" spans="1:26" x14ac:dyDescent="0.3">
      <c r="A27" s="3" t="s">
        <v>170</v>
      </c>
      <c r="B27" s="3" t="s">
        <v>131</v>
      </c>
      <c r="C27" s="16">
        <v>5.25</v>
      </c>
      <c r="D27" s="16">
        <v>1446</v>
      </c>
      <c r="E27" s="3" t="s">
        <v>237</v>
      </c>
      <c r="F27" s="3"/>
      <c r="G27" s="3">
        <f t="shared" si="0"/>
        <v>1338</v>
      </c>
      <c r="H27" s="3">
        <v>1274</v>
      </c>
      <c r="I27" s="3">
        <f t="shared" si="1"/>
        <v>0</v>
      </c>
      <c r="J27" s="3">
        <f t="shared" si="2"/>
        <v>0</v>
      </c>
      <c r="K27" s="7">
        <f t="shared" si="3"/>
        <v>0</v>
      </c>
      <c r="L27" s="1">
        <f t="shared" si="4"/>
        <v>0</v>
      </c>
      <c r="M27" s="1">
        <v>0</v>
      </c>
      <c r="N27" s="1">
        <v>1.04</v>
      </c>
      <c r="O27" s="1">
        <v>1.04</v>
      </c>
      <c r="P27" s="1">
        <v>1.05</v>
      </c>
      <c r="Q27" s="1">
        <v>1.05</v>
      </c>
      <c r="R27" s="1">
        <v>1.05</v>
      </c>
      <c r="S27" s="1">
        <v>1.05</v>
      </c>
      <c r="T27" s="1">
        <v>1.08</v>
      </c>
      <c r="U27" s="1">
        <v>1100</v>
      </c>
      <c r="V27" s="1">
        <v>1155</v>
      </c>
      <c r="W27" s="1">
        <f t="shared" si="5"/>
        <v>1213</v>
      </c>
      <c r="X27" s="1">
        <v>0</v>
      </c>
      <c r="Y27" s="1">
        <v>0</v>
      </c>
      <c r="Z27" s="1">
        <v>0</v>
      </c>
    </row>
    <row r="28" spans="1:26" ht="15" customHeight="1" x14ac:dyDescent="0.3">
      <c r="A28" s="3" t="s">
        <v>179</v>
      </c>
      <c r="B28" s="3" t="s">
        <v>148</v>
      </c>
      <c r="C28" s="16">
        <v>0</v>
      </c>
      <c r="D28" s="16">
        <v>912</v>
      </c>
      <c r="E28" s="3" t="s">
        <v>519</v>
      </c>
      <c r="F28" s="3"/>
      <c r="G28" s="3">
        <f t="shared" si="0"/>
        <v>844</v>
      </c>
      <c r="H28" s="3">
        <v>803</v>
      </c>
      <c r="I28" s="3">
        <f t="shared" si="1"/>
        <v>0</v>
      </c>
      <c r="J28" s="3">
        <f t="shared" si="2"/>
        <v>0</v>
      </c>
      <c r="K28" s="7">
        <f t="shared" si="3"/>
        <v>0</v>
      </c>
      <c r="L28" s="1">
        <f t="shared" si="4"/>
        <v>0</v>
      </c>
      <c r="M28" s="1">
        <v>0</v>
      </c>
      <c r="N28" s="1">
        <v>1.04</v>
      </c>
      <c r="O28" s="1">
        <v>1.04</v>
      </c>
      <c r="P28" s="1">
        <v>1.05</v>
      </c>
      <c r="Q28" s="1">
        <v>1.05</v>
      </c>
      <c r="R28" s="1">
        <v>1.05</v>
      </c>
      <c r="S28" s="1">
        <v>1.05</v>
      </c>
      <c r="T28" s="1">
        <v>1.08</v>
      </c>
      <c r="U28" s="1">
        <v>693</v>
      </c>
      <c r="V28" s="1">
        <v>728</v>
      </c>
      <c r="W28" s="1">
        <f t="shared" si="5"/>
        <v>764</v>
      </c>
      <c r="X28" s="1">
        <v>0</v>
      </c>
      <c r="Y28" s="1">
        <v>0</v>
      </c>
      <c r="Z28" s="1">
        <v>0</v>
      </c>
    </row>
    <row r="29" spans="1:26" x14ac:dyDescent="0.3">
      <c r="A29" s="3" t="s">
        <v>171</v>
      </c>
      <c r="B29" s="3" t="s">
        <v>158</v>
      </c>
      <c r="C29" s="16">
        <v>1</v>
      </c>
      <c r="D29" s="16">
        <v>472</v>
      </c>
      <c r="E29" s="3" t="s">
        <v>520</v>
      </c>
      <c r="F29" s="3"/>
      <c r="G29" s="3">
        <f t="shared" si="0"/>
        <v>437</v>
      </c>
      <c r="H29" s="3">
        <v>416</v>
      </c>
      <c r="I29" s="3">
        <f t="shared" si="1"/>
        <v>0</v>
      </c>
      <c r="J29" s="3">
        <f t="shared" si="2"/>
        <v>0</v>
      </c>
      <c r="K29" s="7">
        <f t="shared" si="3"/>
        <v>0</v>
      </c>
      <c r="L29" s="1">
        <f t="shared" si="4"/>
        <v>0</v>
      </c>
      <c r="M29" s="1">
        <v>0</v>
      </c>
      <c r="N29" s="1">
        <v>1.04</v>
      </c>
      <c r="O29" s="1">
        <v>1.04</v>
      </c>
      <c r="P29" s="1">
        <v>1.05</v>
      </c>
      <c r="Q29" s="1">
        <v>1.05</v>
      </c>
      <c r="R29" s="1">
        <v>1.05</v>
      </c>
      <c r="S29" s="1">
        <v>1.05</v>
      </c>
      <c r="T29" s="1">
        <v>1.08</v>
      </c>
      <c r="U29" s="1">
        <v>359</v>
      </c>
      <c r="V29" s="1">
        <v>377</v>
      </c>
      <c r="W29" s="1">
        <f t="shared" si="5"/>
        <v>396</v>
      </c>
      <c r="X29" s="1">
        <v>0</v>
      </c>
      <c r="Y29" s="1">
        <v>0</v>
      </c>
      <c r="Z29" s="1">
        <v>0</v>
      </c>
    </row>
    <row r="30" spans="1:26" x14ac:dyDescent="0.3">
      <c r="A30" s="3" t="s">
        <v>175</v>
      </c>
      <c r="B30" s="3" t="s">
        <v>144</v>
      </c>
      <c r="C30" s="16">
        <v>0</v>
      </c>
      <c r="D30" s="16">
        <v>912</v>
      </c>
      <c r="E30" s="3" t="s">
        <v>521</v>
      </c>
      <c r="F30" s="3"/>
      <c r="G30" s="3">
        <f t="shared" si="0"/>
        <v>844</v>
      </c>
      <c r="H30" s="3">
        <v>803</v>
      </c>
      <c r="I30" s="3">
        <f t="shared" si="1"/>
        <v>0</v>
      </c>
      <c r="J30" s="3">
        <f t="shared" si="2"/>
        <v>0</v>
      </c>
      <c r="K30" s="7">
        <f t="shared" si="3"/>
        <v>0</v>
      </c>
      <c r="L30" s="1">
        <f t="shared" si="4"/>
        <v>0</v>
      </c>
      <c r="M30" s="1">
        <v>0</v>
      </c>
      <c r="N30" s="1">
        <v>1.04</v>
      </c>
      <c r="O30" s="1">
        <v>1.04</v>
      </c>
      <c r="P30" s="1">
        <v>1.05</v>
      </c>
      <c r="Q30" s="1">
        <v>1.05</v>
      </c>
      <c r="R30" s="1">
        <v>1.05</v>
      </c>
      <c r="S30" s="1">
        <v>1.05</v>
      </c>
      <c r="T30" s="1">
        <v>1.08</v>
      </c>
      <c r="U30" s="1">
        <v>693</v>
      </c>
      <c r="V30" s="1">
        <v>728</v>
      </c>
      <c r="W30" s="1">
        <f t="shared" si="5"/>
        <v>764</v>
      </c>
      <c r="X30" s="1">
        <v>0</v>
      </c>
      <c r="Y30" s="1">
        <v>0</v>
      </c>
      <c r="Z30" s="1">
        <v>0</v>
      </c>
    </row>
    <row r="31" spans="1:26" x14ac:dyDescent="0.3">
      <c r="A31" s="3" t="s">
        <v>436</v>
      </c>
      <c r="B31" s="3" t="s">
        <v>440</v>
      </c>
      <c r="C31" s="16">
        <v>0</v>
      </c>
      <c r="D31" s="16">
        <v>912</v>
      </c>
      <c r="E31" s="3" t="s">
        <v>522</v>
      </c>
      <c r="F31" s="3"/>
      <c r="G31" s="3">
        <f t="shared" si="0"/>
        <v>844</v>
      </c>
      <c r="H31" s="3">
        <v>803</v>
      </c>
      <c r="I31" s="3">
        <f t="shared" si="1"/>
        <v>0</v>
      </c>
      <c r="J31" s="3">
        <f t="shared" si="2"/>
        <v>0</v>
      </c>
      <c r="K31" s="7">
        <f t="shared" si="3"/>
        <v>0</v>
      </c>
      <c r="L31" s="1">
        <f t="shared" si="4"/>
        <v>0</v>
      </c>
      <c r="M31" s="1">
        <v>0</v>
      </c>
      <c r="N31" s="1">
        <v>1.04</v>
      </c>
      <c r="O31" s="1">
        <v>1.04</v>
      </c>
      <c r="P31" s="1">
        <v>1.05</v>
      </c>
      <c r="Q31" s="1">
        <v>1.05</v>
      </c>
      <c r="R31" s="1">
        <v>1.05</v>
      </c>
      <c r="S31" s="1">
        <v>1.05</v>
      </c>
      <c r="T31" s="1">
        <v>1.08</v>
      </c>
      <c r="U31" s="1">
        <v>693</v>
      </c>
      <c r="V31" s="1">
        <v>728</v>
      </c>
      <c r="W31" s="1">
        <f t="shared" si="5"/>
        <v>764</v>
      </c>
      <c r="X31" s="1">
        <v>0</v>
      </c>
      <c r="Y31" s="1">
        <v>0</v>
      </c>
      <c r="Z31" s="1">
        <v>0</v>
      </c>
    </row>
    <row r="32" spans="1:26" x14ac:dyDescent="0.3">
      <c r="A32" s="3" t="s">
        <v>180</v>
      </c>
      <c r="B32" s="3" t="s">
        <v>149</v>
      </c>
      <c r="C32" s="16">
        <v>0</v>
      </c>
      <c r="D32" s="16">
        <v>1655</v>
      </c>
      <c r="E32" s="3" t="s">
        <v>519</v>
      </c>
      <c r="F32" s="3"/>
      <c r="G32" s="3">
        <f t="shared" si="0"/>
        <v>1532</v>
      </c>
      <c r="H32" s="3">
        <v>1459</v>
      </c>
      <c r="I32" s="3">
        <f t="shared" si="1"/>
        <v>0</v>
      </c>
      <c r="J32" s="3">
        <f t="shared" si="2"/>
        <v>0</v>
      </c>
      <c r="K32" s="7">
        <f t="shared" si="3"/>
        <v>0</v>
      </c>
      <c r="L32" s="1">
        <f t="shared" si="4"/>
        <v>0</v>
      </c>
      <c r="M32" s="1">
        <v>0</v>
      </c>
      <c r="N32" s="1">
        <v>1.04</v>
      </c>
      <c r="O32" s="1">
        <v>1.04</v>
      </c>
      <c r="P32" s="1">
        <v>1.05</v>
      </c>
      <c r="Q32" s="1">
        <v>1.05</v>
      </c>
      <c r="R32" s="1">
        <v>1.05</v>
      </c>
      <c r="S32" s="1">
        <v>1.05</v>
      </c>
      <c r="T32" s="1">
        <v>1.08</v>
      </c>
      <c r="U32" s="1">
        <v>1260</v>
      </c>
      <c r="V32" s="1">
        <v>1323</v>
      </c>
      <c r="W32" s="1">
        <f t="shared" si="5"/>
        <v>1389</v>
      </c>
      <c r="X32" s="1">
        <v>0</v>
      </c>
      <c r="Y32" s="1">
        <v>0</v>
      </c>
      <c r="Z32" s="1">
        <v>0</v>
      </c>
    </row>
    <row r="33" spans="1:26" x14ac:dyDescent="0.3">
      <c r="A33" s="3" t="s">
        <v>172</v>
      </c>
      <c r="B33" s="3" t="s">
        <v>159</v>
      </c>
      <c r="C33" s="16">
        <v>2</v>
      </c>
      <c r="D33" s="16">
        <v>640</v>
      </c>
      <c r="E33" s="3" t="s">
        <v>520</v>
      </c>
      <c r="F33" s="3"/>
      <c r="G33" s="3">
        <f t="shared" si="0"/>
        <v>592</v>
      </c>
      <c r="H33" s="3">
        <v>563</v>
      </c>
      <c r="I33" s="3">
        <f t="shared" si="1"/>
        <v>0</v>
      </c>
      <c r="J33" s="3">
        <f t="shared" si="2"/>
        <v>0</v>
      </c>
      <c r="K33" s="7">
        <f t="shared" si="3"/>
        <v>0</v>
      </c>
      <c r="L33" s="1">
        <f t="shared" si="4"/>
        <v>0</v>
      </c>
      <c r="M33" s="1">
        <v>0</v>
      </c>
      <c r="N33" s="1">
        <v>1.04</v>
      </c>
      <c r="O33" s="1">
        <v>1.04</v>
      </c>
      <c r="P33" s="1">
        <v>1.05</v>
      </c>
      <c r="Q33" s="1">
        <v>1.05</v>
      </c>
      <c r="R33" s="1">
        <v>1.05</v>
      </c>
      <c r="S33" s="1">
        <v>1.05</v>
      </c>
      <c r="T33" s="1">
        <v>1.08</v>
      </c>
      <c r="U33" s="1">
        <v>486</v>
      </c>
      <c r="V33" s="1">
        <v>510</v>
      </c>
      <c r="W33" s="1">
        <f t="shared" si="5"/>
        <v>536</v>
      </c>
      <c r="X33" s="1">
        <v>0</v>
      </c>
      <c r="Y33" s="1">
        <v>0</v>
      </c>
      <c r="Z33" s="1">
        <v>0</v>
      </c>
    </row>
    <row r="34" spans="1:26" x14ac:dyDescent="0.3">
      <c r="A34" s="3" t="s">
        <v>176</v>
      </c>
      <c r="B34" s="3" t="s">
        <v>145</v>
      </c>
      <c r="C34" s="16">
        <v>0</v>
      </c>
      <c r="D34" s="16">
        <v>1655</v>
      </c>
      <c r="E34" s="3" t="s">
        <v>521</v>
      </c>
      <c r="F34" s="3"/>
      <c r="G34" s="3">
        <f t="shared" si="0"/>
        <v>1532</v>
      </c>
      <c r="H34" s="3">
        <v>1459</v>
      </c>
      <c r="I34" s="3">
        <f t="shared" si="1"/>
        <v>0</v>
      </c>
      <c r="J34" s="3">
        <f t="shared" si="2"/>
        <v>0</v>
      </c>
      <c r="K34" s="7">
        <f t="shared" si="3"/>
        <v>0</v>
      </c>
      <c r="L34" s="1">
        <f t="shared" si="4"/>
        <v>0</v>
      </c>
      <c r="M34" s="1">
        <v>0</v>
      </c>
      <c r="N34" s="1">
        <v>1.04</v>
      </c>
      <c r="O34" s="1">
        <v>1.04</v>
      </c>
      <c r="P34" s="1">
        <v>1.05</v>
      </c>
      <c r="Q34" s="1">
        <v>1.05</v>
      </c>
      <c r="R34" s="1">
        <v>1.05</v>
      </c>
      <c r="S34" s="1">
        <v>1.05</v>
      </c>
      <c r="T34" s="1">
        <v>1.08</v>
      </c>
      <c r="U34" s="1">
        <v>1260</v>
      </c>
      <c r="V34" s="1">
        <v>1323</v>
      </c>
      <c r="W34" s="1">
        <f t="shared" si="5"/>
        <v>1389</v>
      </c>
      <c r="X34" s="1">
        <v>0</v>
      </c>
      <c r="Y34" s="1">
        <v>0</v>
      </c>
      <c r="Z34" s="1">
        <v>0</v>
      </c>
    </row>
    <row r="35" spans="1:26" x14ac:dyDescent="0.3">
      <c r="A35" s="3" t="s">
        <v>437</v>
      </c>
      <c r="B35" s="3" t="s">
        <v>441</v>
      </c>
      <c r="C35" s="16">
        <v>0</v>
      </c>
      <c r="D35" s="16">
        <v>1655</v>
      </c>
      <c r="E35" s="3" t="s">
        <v>522</v>
      </c>
      <c r="F35" s="3"/>
      <c r="G35" s="3">
        <f t="shared" si="0"/>
        <v>1532</v>
      </c>
      <c r="H35" s="3">
        <v>1459</v>
      </c>
      <c r="I35" s="3">
        <f t="shared" si="1"/>
        <v>0</v>
      </c>
      <c r="J35" s="3">
        <f t="shared" si="2"/>
        <v>0</v>
      </c>
      <c r="K35" s="7">
        <f t="shared" si="3"/>
        <v>0</v>
      </c>
      <c r="L35" s="1">
        <f t="shared" si="4"/>
        <v>0</v>
      </c>
      <c r="M35" s="1">
        <v>0</v>
      </c>
      <c r="N35" s="1">
        <v>1.04</v>
      </c>
      <c r="O35" s="1">
        <v>1.04</v>
      </c>
      <c r="P35" s="1">
        <v>1.05</v>
      </c>
      <c r="Q35" s="1">
        <v>1.05</v>
      </c>
      <c r="R35" s="1">
        <v>1.05</v>
      </c>
      <c r="S35" s="1">
        <v>1.05</v>
      </c>
      <c r="T35" s="1">
        <v>1.08</v>
      </c>
      <c r="U35" s="1">
        <v>1260</v>
      </c>
      <c r="V35" s="1">
        <v>1323</v>
      </c>
      <c r="W35" s="1">
        <f t="shared" si="5"/>
        <v>1389</v>
      </c>
      <c r="X35" s="1">
        <v>0</v>
      </c>
      <c r="Y35" s="1">
        <v>0</v>
      </c>
      <c r="Z35" s="1">
        <v>0</v>
      </c>
    </row>
    <row r="36" spans="1:26" x14ac:dyDescent="0.3">
      <c r="A36" s="3" t="s">
        <v>181</v>
      </c>
      <c r="B36" s="3" t="s">
        <v>150</v>
      </c>
      <c r="C36" s="16">
        <v>0</v>
      </c>
      <c r="D36" s="16">
        <v>1736</v>
      </c>
      <c r="E36" s="3" t="s">
        <v>519</v>
      </c>
      <c r="F36" s="3"/>
      <c r="G36" s="3">
        <f t="shared" si="0"/>
        <v>1607</v>
      </c>
      <c r="H36" s="3">
        <v>1530</v>
      </c>
      <c r="I36" s="3">
        <f t="shared" si="1"/>
        <v>0</v>
      </c>
      <c r="J36" s="3">
        <f t="shared" si="2"/>
        <v>0</v>
      </c>
      <c r="K36" s="7">
        <f t="shared" si="3"/>
        <v>0</v>
      </c>
      <c r="L36" s="1">
        <f t="shared" si="4"/>
        <v>0</v>
      </c>
      <c r="M36" s="1">
        <v>0</v>
      </c>
      <c r="N36" s="1">
        <v>1.04</v>
      </c>
      <c r="O36" s="1">
        <v>1.04</v>
      </c>
      <c r="P36" s="1">
        <v>1.05</v>
      </c>
      <c r="Q36" s="1">
        <v>1.05</v>
      </c>
      <c r="R36" s="1">
        <v>1.05</v>
      </c>
      <c r="S36" s="1">
        <v>1.05</v>
      </c>
      <c r="T36" s="1">
        <v>1.08</v>
      </c>
      <c r="U36" s="1">
        <v>1322</v>
      </c>
      <c r="V36" s="1">
        <v>1388</v>
      </c>
      <c r="W36" s="1">
        <f t="shared" si="5"/>
        <v>1457</v>
      </c>
      <c r="X36" s="1">
        <v>0</v>
      </c>
      <c r="Y36" s="1">
        <v>0</v>
      </c>
      <c r="Z36" s="1">
        <v>0</v>
      </c>
    </row>
    <row r="37" spans="1:26" x14ac:dyDescent="0.3">
      <c r="A37" s="3" t="s">
        <v>173</v>
      </c>
      <c r="B37" s="3" t="s">
        <v>160</v>
      </c>
      <c r="C37" s="16">
        <v>2.25</v>
      </c>
      <c r="D37" s="16">
        <v>700</v>
      </c>
      <c r="E37" s="3" t="s">
        <v>520</v>
      </c>
      <c r="F37" s="3"/>
      <c r="G37" s="3">
        <f t="shared" si="0"/>
        <v>648</v>
      </c>
      <c r="H37" s="3">
        <v>617</v>
      </c>
      <c r="I37" s="3">
        <f t="shared" si="1"/>
        <v>0</v>
      </c>
      <c r="J37" s="3">
        <f t="shared" si="2"/>
        <v>0</v>
      </c>
      <c r="K37" s="7">
        <f t="shared" si="3"/>
        <v>0</v>
      </c>
      <c r="L37" s="1">
        <f t="shared" si="4"/>
        <v>0</v>
      </c>
      <c r="M37" s="1">
        <v>0</v>
      </c>
      <c r="N37" s="1">
        <v>1.04</v>
      </c>
      <c r="O37" s="1">
        <v>1.04</v>
      </c>
      <c r="P37" s="1">
        <v>1.05</v>
      </c>
      <c r="Q37" s="1">
        <v>1.05</v>
      </c>
      <c r="R37" s="1">
        <v>1.05</v>
      </c>
      <c r="S37" s="1">
        <v>1.05</v>
      </c>
      <c r="T37" s="1">
        <v>1.08</v>
      </c>
      <c r="U37" s="1">
        <v>532</v>
      </c>
      <c r="V37" s="1">
        <v>559</v>
      </c>
      <c r="W37" s="1">
        <f t="shared" si="5"/>
        <v>587</v>
      </c>
      <c r="X37" s="1">
        <v>0</v>
      </c>
      <c r="Y37" s="1">
        <v>0</v>
      </c>
      <c r="Z37" s="1">
        <v>0</v>
      </c>
    </row>
    <row r="38" spans="1:26" x14ac:dyDescent="0.3">
      <c r="A38" s="3" t="s">
        <v>177</v>
      </c>
      <c r="B38" s="3" t="s">
        <v>146</v>
      </c>
      <c r="C38" s="16">
        <v>0</v>
      </c>
      <c r="D38" s="16">
        <v>1736</v>
      </c>
      <c r="E38" s="3" t="s">
        <v>521</v>
      </c>
      <c r="F38" s="3"/>
      <c r="G38" s="3">
        <f t="shared" si="0"/>
        <v>1607</v>
      </c>
      <c r="H38" s="3">
        <v>1530</v>
      </c>
      <c r="I38" s="3">
        <f t="shared" si="1"/>
        <v>0</v>
      </c>
      <c r="J38" s="3">
        <f t="shared" si="2"/>
        <v>0</v>
      </c>
      <c r="K38" s="7">
        <f t="shared" si="3"/>
        <v>0</v>
      </c>
      <c r="L38" s="1">
        <f t="shared" si="4"/>
        <v>0</v>
      </c>
      <c r="M38" s="1">
        <v>0</v>
      </c>
      <c r="N38" s="1">
        <v>1.04</v>
      </c>
      <c r="O38" s="1">
        <v>1.04</v>
      </c>
      <c r="P38" s="1">
        <v>1.05</v>
      </c>
      <c r="Q38" s="1">
        <v>1.05</v>
      </c>
      <c r="R38" s="1">
        <v>1.05</v>
      </c>
      <c r="S38" s="1">
        <v>1.05</v>
      </c>
      <c r="T38" s="1">
        <v>1.08</v>
      </c>
      <c r="U38" s="1">
        <v>1322</v>
      </c>
      <c r="V38" s="1">
        <v>1388</v>
      </c>
      <c r="W38" s="1">
        <f t="shared" si="5"/>
        <v>1457</v>
      </c>
      <c r="X38" s="1">
        <v>0</v>
      </c>
      <c r="Y38" s="1">
        <v>0</v>
      </c>
      <c r="Z38" s="1">
        <v>0</v>
      </c>
    </row>
    <row r="39" spans="1:26" x14ac:dyDescent="0.3">
      <c r="A39" s="3" t="s">
        <v>438</v>
      </c>
      <c r="B39" s="3" t="s">
        <v>442</v>
      </c>
      <c r="C39" s="16">
        <v>0</v>
      </c>
      <c r="D39" s="16">
        <v>1736</v>
      </c>
      <c r="E39" s="3" t="s">
        <v>522</v>
      </c>
      <c r="F39" s="3"/>
      <c r="G39" s="3">
        <f t="shared" si="0"/>
        <v>1607</v>
      </c>
      <c r="H39" s="3">
        <v>1530</v>
      </c>
      <c r="I39" s="3">
        <f t="shared" si="1"/>
        <v>0</v>
      </c>
      <c r="J39" s="3">
        <f t="shared" si="2"/>
        <v>0</v>
      </c>
      <c r="K39" s="7">
        <f t="shared" si="3"/>
        <v>0</v>
      </c>
      <c r="L39" s="1">
        <f t="shared" si="4"/>
        <v>0</v>
      </c>
      <c r="M39" s="1">
        <v>0</v>
      </c>
      <c r="N39" s="1">
        <v>1.04</v>
      </c>
      <c r="O39" s="1">
        <v>1.04</v>
      </c>
      <c r="P39" s="1">
        <v>1.05</v>
      </c>
      <c r="Q39" s="1">
        <v>1.05</v>
      </c>
      <c r="R39" s="1">
        <v>1.05</v>
      </c>
      <c r="S39" s="1">
        <v>1.05</v>
      </c>
      <c r="T39" s="1">
        <v>1.08</v>
      </c>
      <c r="U39" s="1">
        <v>1322</v>
      </c>
      <c r="V39" s="1">
        <v>1388</v>
      </c>
      <c r="W39" s="1">
        <f t="shared" si="5"/>
        <v>1457</v>
      </c>
      <c r="X39" s="1">
        <v>0</v>
      </c>
      <c r="Y39" s="1">
        <v>0</v>
      </c>
      <c r="Z39" s="1">
        <v>0</v>
      </c>
    </row>
    <row r="40" spans="1:26" ht="15" customHeight="1" x14ac:dyDescent="0.3">
      <c r="A40" s="3" t="s">
        <v>182</v>
      </c>
      <c r="B40" s="3" t="s">
        <v>151</v>
      </c>
      <c r="C40" s="16">
        <v>0</v>
      </c>
      <c r="D40" s="16">
        <v>1775</v>
      </c>
      <c r="E40" s="3" t="s">
        <v>519</v>
      </c>
      <c r="F40" s="3"/>
      <c r="G40" s="3">
        <f t="shared" si="0"/>
        <v>1643</v>
      </c>
      <c r="H40" s="3">
        <v>1564</v>
      </c>
      <c r="I40" s="3">
        <f t="shared" si="1"/>
        <v>0</v>
      </c>
      <c r="J40" s="3">
        <f t="shared" si="2"/>
        <v>0</v>
      </c>
      <c r="K40" s="7">
        <f t="shared" si="3"/>
        <v>0</v>
      </c>
      <c r="L40" s="1">
        <f t="shared" si="4"/>
        <v>0</v>
      </c>
      <c r="M40" s="1">
        <v>0</v>
      </c>
      <c r="N40" s="1">
        <v>1.04</v>
      </c>
      <c r="O40" s="1">
        <v>1.04</v>
      </c>
      <c r="P40" s="1">
        <v>1.05</v>
      </c>
      <c r="Q40" s="1">
        <v>1.05</v>
      </c>
      <c r="R40" s="1">
        <v>1.05</v>
      </c>
      <c r="S40" s="1">
        <v>1.05</v>
      </c>
      <c r="T40" s="1">
        <v>1.08</v>
      </c>
      <c r="U40" s="1">
        <v>1350</v>
      </c>
      <c r="V40" s="1">
        <v>1418</v>
      </c>
      <c r="W40" s="1">
        <f t="shared" si="5"/>
        <v>1489</v>
      </c>
      <c r="X40" s="1">
        <v>0</v>
      </c>
      <c r="Y40" s="1">
        <v>0</v>
      </c>
      <c r="Z40" s="1">
        <v>0</v>
      </c>
    </row>
    <row r="41" spans="1:26" x14ac:dyDescent="0.3">
      <c r="A41" s="3" t="s">
        <v>174</v>
      </c>
      <c r="B41" s="3" t="s">
        <v>161</v>
      </c>
      <c r="C41" s="16">
        <v>2.75</v>
      </c>
      <c r="D41" s="16">
        <v>781</v>
      </c>
      <c r="E41" s="3" t="s">
        <v>520</v>
      </c>
      <c r="F41" s="3"/>
      <c r="G41" s="3">
        <f t="shared" si="0"/>
        <v>723</v>
      </c>
      <c r="H41" s="3">
        <v>688</v>
      </c>
      <c r="I41" s="3">
        <f t="shared" si="1"/>
        <v>0</v>
      </c>
      <c r="J41" s="3">
        <f t="shared" si="2"/>
        <v>0</v>
      </c>
      <c r="K41" s="7">
        <f t="shared" si="3"/>
        <v>0</v>
      </c>
      <c r="L41" s="1">
        <f t="shared" si="4"/>
        <v>0</v>
      </c>
      <c r="M41" s="1">
        <v>0</v>
      </c>
      <c r="N41" s="1">
        <v>1.04</v>
      </c>
      <c r="O41" s="1">
        <v>1.04</v>
      </c>
      <c r="P41" s="1">
        <v>1.05</v>
      </c>
      <c r="Q41" s="1">
        <v>1.05</v>
      </c>
      <c r="R41" s="1">
        <v>1.05</v>
      </c>
      <c r="S41" s="1">
        <v>1.05</v>
      </c>
      <c r="T41" s="1">
        <v>1.08</v>
      </c>
      <c r="U41" s="1">
        <v>594</v>
      </c>
      <c r="V41" s="1">
        <v>624</v>
      </c>
      <c r="W41" s="1">
        <f t="shared" si="5"/>
        <v>655</v>
      </c>
      <c r="X41" s="1">
        <v>0</v>
      </c>
      <c r="Y41" s="1">
        <v>0</v>
      </c>
      <c r="Z41" s="1">
        <v>0</v>
      </c>
    </row>
    <row r="42" spans="1:26" x14ac:dyDescent="0.3">
      <c r="A42" s="3" t="s">
        <v>178</v>
      </c>
      <c r="B42" s="3" t="s">
        <v>147</v>
      </c>
      <c r="C42" s="16">
        <v>0</v>
      </c>
      <c r="D42" s="16">
        <v>1775</v>
      </c>
      <c r="E42" s="3" t="s">
        <v>521</v>
      </c>
      <c r="F42" s="3"/>
      <c r="G42" s="3">
        <f t="shared" si="0"/>
        <v>1643</v>
      </c>
      <c r="H42" s="3">
        <v>1564</v>
      </c>
      <c r="I42" s="3">
        <f t="shared" si="1"/>
        <v>0</v>
      </c>
      <c r="J42" s="3">
        <f t="shared" si="2"/>
        <v>0</v>
      </c>
      <c r="K42" s="7">
        <f t="shared" si="3"/>
        <v>0</v>
      </c>
      <c r="L42" s="1">
        <f t="shared" si="4"/>
        <v>0</v>
      </c>
      <c r="M42" s="1">
        <v>0</v>
      </c>
      <c r="N42" s="1">
        <v>1.04</v>
      </c>
      <c r="O42" s="1">
        <v>1.04</v>
      </c>
      <c r="P42" s="1">
        <v>1.05</v>
      </c>
      <c r="Q42" s="1">
        <v>1.05</v>
      </c>
      <c r="R42" s="1">
        <v>1.05</v>
      </c>
      <c r="S42" s="1">
        <v>1.05</v>
      </c>
      <c r="T42" s="1">
        <v>1.08</v>
      </c>
      <c r="U42" s="1">
        <v>1350</v>
      </c>
      <c r="V42" s="1">
        <v>1418</v>
      </c>
      <c r="W42" s="1">
        <f t="shared" si="5"/>
        <v>1489</v>
      </c>
      <c r="X42" s="1">
        <v>0</v>
      </c>
      <c r="Y42" s="1">
        <v>0</v>
      </c>
      <c r="Z42" s="1">
        <v>0</v>
      </c>
    </row>
    <row r="43" spans="1:26" x14ac:dyDescent="0.3">
      <c r="A43" s="3" t="s">
        <v>439</v>
      </c>
      <c r="B43" s="3" t="s">
        <v>443</v>
      </c>
      <c r="C43" s="16">
        <v>0</v>
      </c>
      <c r="D43" s="16">
        <v>1775</v>
      </c>
      <c r="E43" s="3" t="s">
        <v>522</v>
      </c>
      <c r="F43" s="3"/>
      <c r="G43" s="3">
        <f t="shared" si="0"/>
        <v>1643</v>
      </c>
      <c r="H43" s="3">
        <v>1564</v>
      </c>
      <c r="I43" s="3">
        <f t="shared" si="1"/>
        <v>949</v>
      </c>
      <c r="J43" s="3">
        <f t="shared" si="2"/>
        <v>904</v>
      </c>
      <c r="K43" s="7">
        <f t="shared" si="3"/>
        <v>861</v>
      </c>
      <c r="L43" s="1">
        <f t="shared" si="4"/>
        <v>828</v>
      </c>
      <c r="M43" s="1">
        <v>796</v>
      </c>
      <c r="N43" s="1">
        <v>1.04</v>
      </c>
      <c r="O43" s="1">
        <v>1.04</v>
      </c>
      <c r="P43" s="1">
        <v>1.05</v>
      </c>
      <c r="Q43" s="1">
        <v>1.05</v>
      </c>
      <c r="R43" s="1">
        <v>1.05</v>
      </c>
      <c r="S43" s="1">
        <v>1.05</v>
      </c>
      <c r="T43" s="1">
        <v>1.08</v>
      </c>
      <c r="U43" s="1">
        <v>1350</v>
      </c>
      <c r="V43" s="1">
        <v>1418</v>
      </c>
      <c r="W43" s="1">
        <f t="shared" si="5"/>
        <v>1489</v>
      </c>
      <c r="X43" s="1">
        <v>861</v>
      </c>
      <c r="Y43" s="1">
        <v>904</v>
      </c>
      <c r="Z43" s="1">
        <v>949</v>
      </c>
    </row>
    <row r="44" spans="1:26" x14ac:dyDescent="0.3">
      <c r="A44" s="3" t="s">
        <v>183</v>
      </c>
      <c r="B44" s="3" t="s">
        <v>94</v>
      </c>
      <c r="C44" s="16">
        <v>1.75</v>
      </c>
      <c r="D44" s="16">
        <v>666</v>
      </c>
      <c r="E44" s="3" t="s">
        <v>101</v>
      </c>
      <c r="F44" s="3"/>
      <c r="G44" s="3">
        <f t="shared" si="0"/>
        <v>616</v>
      </c>
      <c r="H44" s="3">
        <v>586</v>
      </c>
      <c r="I44" s="3">
        <f t="shared" si="1"/>
        <v>882</v>
      </c>
      <c r="J44" s="3">
        <f t="shared" si="2"/>
        <v>840</v>
      </c>
      <c r="K44" s="7">
        <f t="shared" si="3"/>
        <v>800</v>
      </c>
      <c r="L44" s="1">
        <f t="shared" si="4"/>
        <v>769</v>
      </c>
      <c r="M44" s="1">
        <v>739</v>
      </c>
      <c r="N44" s="1">
        <v>1.04</v>
      </c>
      <c r="O44" s="1">
        <v>1.04</v>
      </c>
      <c r="P44" s="1">
        <v>1.05</v>
      </c>
      <c r="Q44" s="1">
        <v>1.05</v>
      </c>
      <c r="R44" s="1">
        <v>1.05</v>
      </c>
      <c r="S44" s="1">
        <v>1.05</v>
      </c>
      <c r="T44" s="1">
        <v>1.08</v>
      </c>
      <c r="U44" s="1">
        <v>506</v>
      </c>
      <c r="V44" s="1">
        <v>531</v>
      </c>
      <c r="W44" s="1">
        <f t="shared" si="5"/>
        <v>558</v>
      </c>
      <c r="X44" s="1">
        <v>800</v>
      </c>
      <c r="Y44" s="1">
        <v>840</v>
      </c>
      <c r="Z44" s="1">
        <v>882</v>
      </c>
    </row>
    <row r="45" spans="1:26" x14ac:dyDescent="0.3">
      <c r="A45" s="3" t="s">
        <v>184</v>
      </c>
      <c r="B45" s="3" t="s">
        <v>96</v>
      </c>
      <c r="C45" s="16">
        <v>4</v>
      </c>
      <c r="D45" s="16">
        <v>923</v>
      </c>
      <c r="E45" s="3" t="s">
        <v>101</v>
      </c>
      <c r="F45" s="3"/>
      <c r="G45" s="3">
        <f t="shared" si="0"/>
        <v>854</v>
      </c>
      <c r="H45" s="3">
        <v>813</v>
      </c>
      <c r="I45" s="3">
        <f t="shared" si="1"/>
        <v>558</v>
      </c>
      <c r="J45" s="3">
        <f t="shared" si="2"/>
        <v>531</v>
      </c>
      <c r="K45" s="7">
        <f t="shared" si="3"/>
        <v>506</v>
      </c>
      <c r="L45" s="1">
        <f t="shared" si="4"/>
        <v>487</v>
      </c>
      <c r="M45" s="1">
        <v>468</v>
      </c>
      <c r="N45" s="1">
        <v>1.04</v>
      </c>
      <c r="O45" s="1">
        <v>1.04</v>
      </c>
      <c r="P45" s="1">
        <v>1.05</v>
      </c>
      <c r="Q45" s="1">
        <v>1.05</v>
      </c>
      <c r="R45" s="1">
        <v>1.05</v>
      </c>
      <c r="S45" s="1">
        <v>1.05</v>
      </c>
      <c r="T45" s="1">
        <v>1.08</v>
      </c>
      <c r="U45" s="1">
        <v>702</v>
      </c>
      <c r="V45" s="1">
        <v>737</v>
      </c>
      <c r="W45" s="1">
        <f t="shared" si="5"/>
        <v>774</v>
      </c>
      <c r="X45" s="1">
        <v>506</v>
      </c>
      <c r="Y45" s="1">
        <v>531</v>
      </c>
      <c r="Z45" s="1">
        <v>558</v>
      </c>
    </row>
    <row r="46" spans="1:26" x14ac:dyDescent="0.3">
      <c r="A46" s="3" t="s">
        <v>185</v>
      </c>
      <c r="B46" s="3" t="s">
        <v>97</v>
      </c>
      <c r="C46" s="16">
        <v>4.5</v>
      </c>
      <c r="D46" s="16">
        <v>1106</v>
      </c>
      <c r="E46" s="3" t="s">
        <v>101</v>
      </c>
      <c r="F46" s="3"/>
      <c r="G46" s="3">
        <f t="shared" si="0"/>
        <v>1024</v>
      </c>
      <c r="H46" s="3">
        <v>975</v>
      </c>
      <c r="I46" s="3">
        <f t="shared" si="1"/>
        <v>774</v>
      </c>
      <c r="J46" s="3">
        <f t="shared" si="2"/>
        <v>737</v>
      </c>
      <c r="K46" s="7">
        <f t="shared" si="3"/>
        <v>702</v>
      </c>
      <c r="L46" s="1">
        <f t="shared" si="4"/>
        <v>675</v>
      </c>
      <c r="M46" s="1">
        <v>649</v>
      </c>
      <c r="N46" s="1">
        <v>1.04</v>
      </c>
      <c r="O46" s="1">
        <v>1.04</v>
      </c>
      <c r="P46" s="1">
        <v>1.05</v>
      </c>
      <c r="Q46" s="1">
        <v>1.05</v>
      </c>
      <c r="R46" s="1">
        <v>1.05</v>
      </c>
      <c r="S46" s="1">
        <v>1.05</v>
      </c>
      <c r="T46" s="1">
        <v>1.08</v>
      </c>
      <c r="U46" s="1">
        <v>842</v>
      </c>
      <c r="V46" s="1">
        <v>884</v>
      </c>
      <c r="W46" s="1">
        <f t="shared" si="5"/>
        <v>928</v>
      </c>
      <c r="X46" s="1">
        <v>702</v>
      </c>
      <c r="Y46" s="1">
        <v>737</v>
      </c>
      <c r="Z46" s="1">
        <v>774</v>
      </c>
    </row>
    <row r="47" spans="1:26" x14ac:dyDescent="0.3">
      <c r="A47" s="3" t="s">
        <v>186</v>
      </c>
      <c r="B47" s="3" t="s">
        <v>153</v>
      </c>
      <c r="C47" s="16">
        <v>2</v>
      </c>
      <c r="D47" s="16">
        <v>762</v>
      </c>
      <c r="E47" s="3" t="s">
        <v>101</v>
      </c>
      <c r="F47" s="3"/>
      <c r="G47" s="3">
        <f t="shared" si="0"/>
        <v>705</v>
      </c>
      <c r="H47" s="3">
        <v>671</v>
      </c>
      <c r="I47" s="3">
        <f t="shared" si="1"/>
        <v>928</v>
      </c>
      <c r="J47" s="3">
        <f t="shared" si="2"/>
        <v>884</v>
      </c>
      <c r="K47" s="7">
        <f t="shared" si="3"/>
        <v>842</v>
      </c>
      <c r="L47" s="1">
        <f t="shared" si="4"/>
        <v>810</v>
      </c>
      <c r="M47" s="1">
        <v>779</v>
      </c>
      <c r="N47" s="1">
        <v>1.04</v>
      </c>
      <c r="O47" s="1">
        <v>1.04</v>
      </c>
      <c r="P47" s="1">
        <v>1.05</v>
      </c>
      <c r="Q47" s="1">
        <v>1.05</v>
      </c>
      <c r="R47" s="1">
        <v>1.05</v>
      </c>
      <c r="S47" s="1">
        <v>1.05</v>
      </c>
      <c r="T47" s="1">
        <v>1.08</v>
      </c>
      <c r="U47" s="1">
        <v>580</v>
      </c>
      <c r="V47" s="1">
        <v>609</v>
      </c>
      <c r="W47" s="1">
        <f t="shared" si="5"/>
        <v>639</v>
      </c>
      <c r="X47" s="1">
        <v>842</v>
      </c>
      <c r="Y47" s="1">
        <v>884</v>
      </c>
      <c r="Z47" s="1">
        <v>928</v>
      </c>
    </row>
    <row r="48" spans="1:26" ht="15" customHeight="1" x14ac:dyDescent="0.3">
      <c r="A48" s="3" t="s">
        <v>187</v>
      </c>
      <c r="B48" s="3" t="s">
        <v>154</v>
      </c>
      <c r="C48" s="16">
        <v>2</v>
      </c>
      <c r="D48" s="16">
        <v>1085</v>
      </c>
      <c r="E48" s="3" t="s">
        <v>101</v>
      </c>
      <c r="F48" s="3"/>
      <c r="G48" s="3">
        <f t="shared" si="0"/>
        <v>1004</v>
      </c>
      <c r="H48" s="3">
        <v>956</v>
      </c>
      <c r="I48" s="3">
        <f t="shared" si="1"/>
        <v>639</v>
      </c>
      <c r="J48" s="3">
        <f t="shared" si="2"/>
        <v>609</v>
      </c>
      <c r="K48" s="7">
        <f t="shared" si="3"/>
        <v>580</v>
      </c>
      <c r="L48" s="1">
        <f t="shared" si="4"/>
        <v>558</v>
      </c>
      <c r="M48" s="1">
        <v>537</v>
      </c>
      <c r="N48" s="1">
        <v>1.04</v>
      </c>
      <c r="O48" s="1">
        <v>1.04</v>
      </c>
      <c r="P48" s="1">
        <v>1.05</v>
      </c>
      <c r="Q48" s="1">
        <v>1.05</v>
      </c>
      <c r="R48" s="1">
        <v>1.05</v>
      </c>
      <c r="S48" s="1">
        <v>1.05</v>
      </c>
      <c r="T48" s="1">
        <v>1.08</v>
      </c>
      <c r="U48" s="1">
        <v>826</v>
      </c>
      <c r="V48" s="1">
        <v>867</v>
      </c>
      <c r="W48" s="1">
        <f t="shared" si="5"/>
        <v>910</v>
      </c>
      <c r="X48" s="1">
        <v>580</v>
      </c>
      <c r="Y48" s="1">
        <v>609</v>
      </c>
      <c r="Z48" s="1">
        <v>639</v>
      </c>
    </row>
    <row r="49" spans="1:26" x14ac:dyDescent="0.3">
      <c r="A49" s="3" t="s">
        <v>188</v>
      </c>
      <c r="B49" s="3" t="s">
        <v>155</v>
      </c>
      <c r="C49" s="16">
        <v>2</v>
      </c>
      <c r="D49" s="16">
        <v>710</v>
      </c>
      <c r="E49" s="3" t="s">
        <v>101</v>
      </c>
      <c r="F49" s="3"/>
      <c r="G49" s="3">
        <f t="shared" si="0"/>
        <v>657</v>
      </c>
      <c r="H49" s="3">
        <v>625</v>
      </c>
      <c r="I49" s="3">
        <f t="shared" si="1"/>
        <v>910</v>
      </c>
      <c r="J49" s="3">
        <f t="shared" si="2"/>
        <v>867</v>
      </c>
      <c r="K49" s="7">
        <f t="shared" si="3"/>
        <v>826</v>
      </c>
      <c r="L49" s="1">
        <f t="shared" si="4"/>
        <v>794</v>
      </c>
      <c r="M49" s="1">
        <v>763</v>
      </c>
      <c r="N49" s="1">
        <v>1.04</v>
      </c>
      <c r="O49" s="1">
        <v>1.04</v>
      </c>
      <c r="P49" s="1">
        <v>1.05</v>
      </c>
      <c r="Q49" s="1">
        <v>1.05</v>
      </c>
      <c r="R49" s="1">
        <v>1.05</v>
      </c>
      <c r="S49" s="1">
        <v>1.05</v>
      </c>
      <c r="T49" s="1">
        <v>1.08</v>
      </c>
      <c r="U49" s="1">
        <v>540</v>
      </c>
      <c r="V49" s="1">
        <v>567</v>
      </c>
      <c r="W49" s="1">
        <f t="shared" si="5"/>
        <v>595</v>
      </c>
      <c r="X49" s="1">
        <v>826</v>
      </c>
      <c r="Y49" s="1">
        <v>867</v>
      </c>
      <c r="Z49" s="1">
        <v>910</v>
      </c>
    </row>
    <row r="50" spans="1:26" x14ac:dyDescent="0.3">
      <c r="A50" s="3" t="s">
        <v>189</v>
      </c>
      <c r="B50" s="3" t="s">
        <v>157</v>
      </c>
      <c r="C50" s="16">
        <v>3.5</v>
      </c>
      <c r="D50" s="16">
        <v>1010</v>
      </c>
      <c r="E50" s="3" t="s">
        <v>101</v>
      </c>
      <c r="F50" s="3"/>
      <c r="G50" s="3">
        <f t="shared" si="0"/>
        <v>935</v>
      </c>
      <c r="H50" s="3">
        <v>890</v>
      </c>
      <c r="I50" s="3">
        <f t="shared" si="1"/>
        <v>595</v>
      </c>
      <c r="J50" s="3">
        <f t="shared" si="2"/>
        <v>567</v>
      </c>
      <c r="K50" s="7">
        <f t="shared" si="3"/>
        <v>540</v>
      </c>
      <c r="L50" s="1">
        <f t="shared" si="4"/>
        <v>519</v>
      </c>
      <c r="M50" s="1">
        <v>499</v>
      </c>
      <c r="N50" s="1">
        <v>1.04</v>
      </c>
      <c r="O50" s="1">
        <v>1.04</v>
      </c>
      <c r="P50" s="1">
        <v>1.05</v>
      </c>
      <c r="Q50" s="1">
        <v>1.05</v>
      </c>
      <c r="R50" s="1">
        <v>1.05</v>
      </c>
      <c r="S50" s="1">
        <v>1.05</v>
      </c>
      <c r="T50" s="1">
        <v>1.08</v>
      </c>
      <c r="U50" s="1">
        <v>769</v>
      </c>
      <c r="V50" s="1">
        <v>807</v>
      </c>
      <c r="W50" s="1">
        <f t="shared" si="5"/>
        <v>847</v>
      </c>
      <c r="X50" s="1">
        <v>540</v>
      </c>
      <c r="Y50" s="1">
        <v>567</v>
      </c>
      <c r="Z50" s="1">
        <v>595</v>
      </c>
    </row>
    <row r="51" spans="1:26" x14ac:dyDescent="0.3">
      <c r="A51" s="3" t="s">
        <v>190</v>
      </c>
      <c r="B51" s="3" t="s">
        <v>156</v>
      </c>
      <c r="C51" s="16">
        <v>4.5</v>
      </c>
      <c r="D51" s="16">
        <v>1163</v>
      </c>
      <c r="E51" s="3" t="s">
        <v>101</v>
      </c>
      <c r="F51" s="3"/>
      <c r="G51" s="3">
        <f t="shared" si="0"/>
        <v>1076</v>
      </c>
      <c r="H51" s="3">
        <v>1024</v>
      </c>
      <c r="I51" s="3">
        <f t="shared" si="1"/>
        <v>847</v>
      </c>
      <c r="J51" s="3">
        <f t="shared" si="2"/>
        <v>807</v>
      </c>
      <c r="K51" s="7">
        <f t="shared" si="3"/>
        <v>769</v>
      </c>
      <c r="L51" s="1">
        <f t="shared" si="4"/>
        <v>739</v>
      </c>
      <c r="M51" s="1">
        <v>711</v>
      </c>
      <c r="N51" s="1">
        <v>1.04</v>
      </c>
      <c r="O51" s="1">
        <v>1.04</v>
      </c>
      <c r="P51" s="1">
        <v>1.05</v>
      </c>
      <c r="Q51" s="1">
        <v>1.05</v>
      </c>
      <c r="R51" s="1">
        <v>1.05</v>
      </c>
      <c r="S51" s="1">
        <v>1.05</v>
      </c>
      <c r="T51" s="1">
        <v>1.08</v>
      </c>
      <c r="U51" s="1">
        <v>885</v>
      </c>
      <c r="V51" s="1">
        <v>929</v>
      </c>
      <c r="W51" s="1">
        <f t="shared" si="5"/>
        <v>975</v>
      </c>
      <c r="X51" s="1">
        <v>769</v>
      </c>
      <c r="Y51" s="1">
        <v>807</v>
      </c>
      <c r="Z51" s="1">
        <v>847</v>
      </c>
    </row>
    <row r="52" spans="1:26" x14ac:dyDescent="0.3">
      <c r="A52" s="3" t="s">
        <v>191</v>
      </c>
      <c r="B52" s="3" t="s">
        <v>132</v>
      </c>
      <c r="C52" s="16">
        <v>0</v>
      </c>
      <c r="D52" s="16">
        <v>1463</v>
      </c>
      <c r="E52" s="3" t="s">
        <v>523</v>
      </c>
      <c r="F52" s="3"/>
      <c r="G52" s="3">
        <f t="shared" si="0"/>
        <v>1354</v>
      </c>
      <c r="H52" s="3">
        <v>1289</v>
      </c>
      <c r="I52" s="3">
        <f t="shared" si="1"/>
        <v>975</v>
      </c>
      <c r="J52" s="3">
        <f t="shared" si="2"/>
        <v>929</v>
      </c>
      <c r="K52" s="7">
        <f t="shared" si="3"/>
        <v>885</v>
      </c>
      <c r="L52" s="1">
        <f t="shared" si="4"/>
        <v>851</v>
      </c>
      <c r="M52" s="1">
        <v>818</v>
      </c>
      <c r="N52" s="1">
        <v>1.04</v>
      </c>
      <c r="O52" s="1">
        <v>1.04</v>
      </c>
      <c r="P52" s="1">
        <v>1.05</v>
      </c>
      <c r="Q52" s="1">
        <v>1.05</v>
      </c>
      <c r="R52" s="1">
        <v>1.05</v>
      </c>
      <c r="S52" s="1">
        <v>1.05</v>
      </c>
      <c r="T52" s="1">
        <v>1.08</v>
      </c>
      <c r="U52" s="1">
        <v>1113</v>
      </c>
      <c r="V52" s="1">
        <v>1169</v>
      </c>
      <c r="W52" s="1">
        <f t="shared" si="5"/>
        <v>1227</v>
      </c>
      <c r="X52" s="1">
        <v>885</v>
      </c>
      <c r="Y52" s="1">
        <v>929</v>
      </c>
      <c r="Z52" s="1">
        <v>975</v>
      </c>
    </row>
    <row r="53" spans="1:26" x14ac:dyDescent="0.3">
      <c r="A53" s="3" t="s">
        <v>192</v>
      </c>
      <c r="B53" s="3" t="s">
        <v>135</v>
      </c>
      <c r="C53" s="16">
        <v>0</v>
      </c>
      <c r="D53" s="16">
        <v>2915</v>
      </c>
      <c r="E53" s="3" t="s">
        <v>523</v>
      </c>
      <c r="F53" s="3"/>
      <c r="G53" s="3">
        <f t="shared" si="0"/>
        <v>2699</v>
      </c>
      <c r="H53" s="3">
        <v>2570</v>
      </c>
      <c r="I53" s="3">
        <f t="shared" si="1"/>
        <v>1008</v>
      </c>
      <c r="J53" s="3">
        <f t="shared" si="2"/>
        <v>960</v>
      </c>
      <c r="K53" s="7">
        <f t="shared" si="3"/>
        <v>914</v>
      </c>
      <c r="L53" s="1">
        <f t="shared" si="4"/>
        <v>879</v>
      </c>
      <c r="M53" s="1">
        <v>845</v>
      </c>
      <c r="N53" s="1">
        <v>1.04</v>
      </c>
      <c r="O53" s="1">
        <v>1.04</v>
      </c>
      <c r="P53" s="1">
        <v>1.05</v>
      </c>
      <c r="Q53" s="1">
        <v>1.05</v>
      </c>
      <c r="R53" s="1">
        <v>1.05</v>
      </c>
      <c r="S53" s="1">
        <v>1.05</v>
      </c>
      <c r="T53" s="1">
        <v>1.08</v>
      </c>
      <c r="U53" s="1">
        <v>2219</v>
      </c>
      <c r="V53" s="1">
        <v>2330</v>
      </c>
      <c r="W53" s="1">
        <f t="shared" si="5"/>
        <v>2447</v>
      </c>
      <c r="X53" s="1">
        <v>914</v>
      </c>
      <c r="Y53" s="1">
        <v>960</v>
      </c>
      <c r="Z53" s="1">
        <v>1008</v>
      </c>
    </row>
    <row r="54" spans="1:26" x14ac:dyDescent="0.3">
      <c r="A54" s="82" t="s">
        <v>193</v>
      </c>
      <c r="B54" s="82" t="s">
        <v>544</v>
      </c>
      <c r="C54" s="82">
        <v>0</v>
      </c>
      <c r="D54" s="82">
        <v>2619</v>
      </c>
      <c r="E54" s="83" t="s">
        <v>524</v>
      </c>
      <c r="F54" s="83"/>
      <c r="G54" s="3">
        <f t="shared" si="0"/>
        <v>2425</v>
      </c>
      <c r="H54" s="3">
        <v>2309</v>
      </c>
      <c r="I54" s="3">
        <f t="shared" si="1"/>
        <v>1227</v>
      </c>
      <c r="J54" s="3">
        <f t="shared" si="2"/>
        <v>1169</v>
      </c>
      <c r="K54" s="7">
        <f t="shared" si="3"/>
        <v>1113</v>
      </c>
      <c r="L54" s="1">
        <f t="shared" si="4"/>
        <v>1070</v>
      </c>
      <c r="M54" s="1">
        <v>1029</v>
      </c>
      <c r="N54" s="1">
        <v>1.04</v>
      </c>
      <c r="O54" s="1">
        <v>1.04</v>
      </c>
      <c r="P54" s="1">
        <v>1.05</v>
      </c>
      <c r="Q54" s="1">
        <v>1.05</v>
      </c>
      <c r="R54" s="1">
        <v>1.05</v>
      </c>
      <c r="S54" s="1">
        <v>1.05</v>
      </c>
      <c r="T54" s="1">
        <v>1.08</v>
      </c>
      <c r="U54" s="1">
        <v>1994</v>
      </c>
      <c r="V54" s="1">
        <v>2094</v>
      </c>
      <c r="W54" s="1">
        <f t="shared" si="5"/>
        <v>2199</v>
      </c>
      <c r="X54" s="1">
        <v>1113</v>
      </c>
      <c r="Y54" s="1">
        <v>1169</v>
      </c>
      <c r="Z54" s="1">
        <v>1227</v>
      </c>
    </row>
    <row r="55" spans="1:26" x14ac:dyDescent="0.3">
      <c r="A55" s="83" t="s">
        <v>194</v>
      </c>
      <c r="B55" s="83" t="s">
        <v>545</v>
      </c>
      <c r="C55" s="82">
        <v>0</v>
      </c>
      <c r="D55" s="82">
        <v>2965</v>
      </c>
      <c r="E55" s="83" t="s">
        <v>524</v>
      </c>
      <c r="F55" s="83"/>
      <c r="G55" s="3">
        <f t="shared" si="0"/>
        <v>2745</v>
      </c>
      <c r="H55" s="3">
        <v>2614</v>
      </c>
      <c r="I55" s="3">
        <f t="shared" si="1"/>
        <v>2447</v>
      </c>
      <c r="J55" s="3">
        <f t="shared" si="2"/>
        <v>2330</v>
      </c>
      <c r="K55" s="7">
        <f t="shared" si="3"/>
        <v>2219</v>
      </c>
      <c r="L55" s="1">
        <f t="shared" si="4"/>
        <v>2134</v>
      </c>
      <c r="M55" s="1">
        <v>2052</v>
      </c>
      <c r="N55" s="1">
        <v>1.04</v>
      </c>
      <c r="O55" s="1">
        <v>1.04</v>
      </c>
      <c r="P55" s="1">
        <v>1.05</v>
      </c>
      <c r="Q55" s="1">
        <v>1.05</v>
      </c>
      <c r="R55" s="1">
        <v>1.05</v>
      </c>
      <c r="S55" s="1">
        <v>1.05</v>
      </c>
      <c r="T55" s="1">
        <v>1.08</v>
      </c>
      <c r="U55" s="1">
        <v>2257</v>
      </c>
      <c r="V55" s="1">
        <v>2370</v>
      </c>
      <c r="W55" s="1">
        <f t="shared" si="5"/>
        <v>2489</v>
      </c>
      <c r="X55" s="1">
        <v>2219</v>
      </c>
      <c r="Y55" s="1">
        <v>2330</v>
      </c>
      <c r="Z55" s="1">
        <v>2447</v>
      </c>
    </row>
    <row r="56" spans="1:26" x14ac:dyDescent="0.3">
      <c r="A56" s="83" t="s">
        <v>195</v>
      </c>
      <c r="B56" s="83" t="s">
        <v>546</v>
      </c>
      <c r="C56" s="82">
        <v>0</v>
      </c>
      <c r="D56" s="82">
        <v>3274</v>
      </c>
      <c r="E56" s="83" t="s">
        <v>524</v>
      </c>
      <c r="F56" s="83"/>
      <c r="G56" s="3">
        <f t="shared" si="0"/>
        <v>3031</v>
      </c>
      <c r="H56" s="3">
        <v>2886</v>
      </c>
      <c r="I56" s="3">
        <f t="shared" si="1"/>
        <v>2199</v>
      </c>
      <c r="J56" s="3">
        <f t="shared" si="2"/>
        <v>2094</v>
      </c>
      <c r="K56" s="7">
        <f t="shared" si="3"/>
        <v>1994</v>
      </c>
      <c r="L56" s="1">
        <f t="shared" si="4"/>
        <v>1917</v>
      </c>
      <c r="M56" s="1">
        <v>1843</v>
      </c>
      <c r="N56" s="1">
        <v>1.04</v>
      </c>
      <c r="O56" s="1">
        <v>1.04</v>
      </c>
      <c r="P56" s="1">
        <v>1.05</v>
      </c>
      <c r="Q56" s="1">
        <v>1.05</v>
      </c>
      <c r="R56" s="1">
        <v>1.05</v>
      </c>
      <c r="S56" s="1">
        <v>1.05</v>
      </c>
      <c r="T56" s="1">
        <v>1.08</v>
      </c>
      <c r="U56" s="1">
        <v>2492</v>
      </c>
      <c r="V56" s="1">
        <v>2617</v>
      </c>
      <c r="W56" s="1">
        <f t="shared" si="5"/>
        <v>2748</v>
      </c>
      <c r="X56" s="1">
        <v>1994</v>
      </c>
      <c r="Y56" s="1">
        <v>2094</v>
      </c>
      <c r="Z56" s="1">
        <v>2199</v>
      </c>
    </row>
    <row r="57" spans="1:26" x14ac:dyDescent="0.3">
      <c r="A57" s="83" t="s">
        <v>196</v>
      </c>
      <c r="B57" s="83" t="s">
        <v>547</v>
      </c>
      <c r="C57" s="82">
        <v>0</v>
      </c>
      <c r="D57" s="82">
        <v>3620</v>
      </c>
      <c r="E57" s="83" t="s">
        <v>524</v>
      </c>
      <c r="F57" s="83"/>
      <c r="G57" s="3">
        <f t="shared" si="0"/>
        <v>3351</v>
      </c>
      <c r="H57" s="3">
        <v>3191</v>
      </c>
      <c r="I57" s="3">
        <f t="shared" si="1"/>
        <v>2489</v>
      </c>
      <c r="J57" s="3">
        <f t="shared" si="2"/>
        <v>2370</v>
      </c>
      <c r="K57" s="7">
        <f t="shared" si="3"/>
        <v>2257</v>
      </c>
      <c r="L57" s="1">
        <f t="shared" si="4"/>
        <v>2170</v>
      </c>
      <c r="M57" s="1">
        <v>2087</v>
      </c>
      <c r="N57" s="1">
        <v>1.04</v>
      </c>
      <c r="O57" s="1">
        <v>1.04</v>
      </c>
      <c r="P57" s="1">
        <v>1.05</v>
      </c>
      <c r="Q57" s="1">
        <v>1.05</v>
      </c>
      <c r="R57" s="1">
        <v>1.05</v>
      </c>
      <c r="S57" s="1">
        <v>1.05</v>
      </c>
      <c r="T57" s="1">
        <v>1.08</v>
      </c>
      <c r="U57" s="1">
        <v>2756</v>
      </c>
      <c r="V57" s="1">
        <v>2894</v>
      </c>
      <c r="W57" s="1">
        <f t="shared" si="5"/>
        <v>3039</v>
      </c>
      <c r="X57" s="1">
        <v>2257</v>
      </c>
      <c r="Y57" s="1">
        <v>2370</v>
      </c>
      <c r="Z57" s="1">
        <v>2489</v>
      </c>
    </row>
    <row r="58" spans="1:26" x14ac:dyDescent="0.3">
      <c r="A58" s="3" t="s">
        <v>197</v>
      </c>
      <c r="B58" s="3" t="s">
        <v>140</v>
      </c>
      <c r="C58" s="16">
        <v>0</v>
      </c>
      <c r="D58" s="16">
        <v>1258</v>
      </c>
      <c r="E58" s="3" t="s">
        <v>525</v>
      </c>
      <c r="F58" s="3"/>
      <c r="G58" s="3">
        <f t="shared" si="0"/>
        <v>1164</v>
      </c>
      <c r="H58" s="3">
        <v>1108</v>
      </c>
      <c r="I58" s="3">
        <f t="shared" si="1"/>
        <v>2748</v>
      </c>
      <c r="J58" s="3">
        <f t="shared" si="2"/>
        <v>2617</v>
      </c>
      <c r="K58" s="7">
        <f t="shared" si="3"/>
        <v>2492</v>
      </c>
      <c r="L58" s="1">
        <f t="shared" si="4"/>
        <v>2396</v>
      </c>
      <c r="M58" s="1">
        <v>2304</v>
      </c>
      <c r="N58" s="1">
        <v>1.04</v>
      </c>
      <c r="O58" s="1">
        <v>1.04</v>
      </c>
      <c r="P58" s="1">
        <v>1.05</v>
      </c>
      <c r="Q58" s="1">
        <v>1.05</v>
      </c>
      <c r="R58" s="1">
        <v>1.05</v>
      </c>
      <c r="S58" s="1">
        <v>1.05</v>
      </c>
      <c r="T58" s="1">
        <v>1.08</v>
      </c>
      <c r="U58" s="1">
        <v>957</v>
      </c>
      <c r="V58" s="1">
        <v>1005</v>
      </c>
      <c r="W58" s="1">
        <f t="shared" si="5"/>
        <v>1055</v>
      </c>
      <c r="X58" s="1">
        <v>2492</v>
      </c>
      <c r="Y58" s="1">
        <v>2617</v>
      </c>
      <c r="Z58" s="1">
        <v>2748</v>
      </c>
    </row>
    <row r="59" spans="1:26" x14ac:dyDescent="0.3">
      <c r="A59" s="3" t="s">
        <v>198</v>
      </c>
      <c r="B59" s="3" t="s">
        <v>141</v>
      </c>
      <c r="C59" s="16">
        <v>0</v>
      </c>
      <c r="D59" s="16">
        <v>1258</v>
      </c>
      <c r="E59" s="3" t="s">
        <v>525</v>
      </c>
      <c r="F59" s="3"/>
      <c r="G59" s="3">
        <f t="shared" si="0"/>
        <v>1164</v>
      </c>
      <c r="H59" s="3">
        <v>1108</v>
      </c>
      <c r="I59" s="3">
        <f t="shared" si="1"/>
        <v>3039</v>
      </c>
      <c r="J59" s="3">
        <f t="shared" si="2"/>
        <v>2894</v>
      </c>
      <c r="K59" s="7">
        <f t="shared" si="3"/>
        <v>2756</v>
      </c>
      <c r="L59" s="1">
        <f t="shared" si="4"/>
        <v>2650</v>
      </c>
      <c r="M59" s="1">
        <v>2548</v>
      </c>
      <c r="N59" s="1">
        <v>1.04</v>
      </c>
      <c r="O59" s="1">
        <v>1.04</v>
      </c>
      <c r="P59" s="1">
        <v>1.05</v>
      </c>
      <c r="Q59" s="1">
        <v>1.05</v>
      </c>
      <c r="R59" s="1">
        <v>1.05</v>
      </c>
      <c r="S59" s="1">
        <v>1.05</v>
      </c>
      <c r="T59" s="1">
        <v>1.08</v>
      </c>
      <c r="U59" s="1">
        <v>957</v>
      </c>
      <c r="V59" s="1">
        <v>1005</v>
      </c>
      <c r="W59" s="1">
        <f t="shared" si="5"/>
        <v>1055</v>
      </c>
      <c r="X59" s="1">
        <v>2756</v>
      </c>
      <c r="Y59" s="1">
        <v>2894</v>
      </c>
      <c r="Z59" s="1">
        <v>3039</v>
      </c>
    </row>
    <row r="60" spans="1:26" x14ac:dyDescent="0.3">
      <c r="A60" s="3" t="s">
        <v>199</v>
      </c>
      <c r="B60" s="3" t="s">
        <v>142</v>
      </c>
      <c r="C60" s="16">
        <v>0</v>
      </c>
      <c r="D60" s="16">
        <v>2037</v>
      </c>
      <c r="E60" s="3" t="s">
        <v>525</v>
      </c>
      <c r="F60" s="3"/>
      <c r="G60" s="3">
        <f t="shared" si="0"/>
        <v>1886</v>
      </c>
      <c r="H60" s="3">
        <v>1796</v>
      </c>
      <c r="I60" s="3">
        <f t="shared" si="1"/>
        <v>2784</v>
      </c>
      <c r="J60" s="3">
        <f t="shared" si="2"/>
        <v>2651</v>
      </c>
      <c r="K60" s="7">
        <f t="shared" si="3"/>
        <v>2525</v>
      </c>
      <c r="L60" s="1">
        <f t="shared" si="4"/>
        <v>2428</v>
      </c>
      <c r="M60" s="1">
        <v>2335</v>
      </c>
      <c r="N60" s="1">
        <v>1.04</v>
      </c>
      <c r="O60" s="1">
        <v>1.04</v>
      </c>
      <c r="P60" s="1">
        <v>1.05</v>
      </c>
      <c r="Q60" s="1">
        <v>1.05</v>
      </c>
      <c r="R60" s="1">
        <v>1.05</v>
      </c>
      <c r="S60" s="1">
        <v>1.05</v>
      </c>
      <c r="T60" s="1">
        <v>1.08</v>
      </c>
      <c r="U60" s="1">
        <v>1551</v>
      </c>
      <c r="V60" s="1">
        <v>1629</v>
      </c>
      <c r="W60" s="1">
        <f t="shared" si="5"/>
        <v>1710</v>
      </c>
      <c r="X60" s="1">
        <v>2525</v>
      </c>
      <c r="Y60" s="1">
        <v>2651</v>
      </c>
      <c r="Z60" s="1">
        <v>2784</v>
      </c>
    </row>
    <row r="61" spans="1:26" x14ac:dyDescent="0.3">
      <c r="A61" s="3" t="s">
        <v>200</v>
      </c>
      <c r="B61" s="3" t="s">
        <v>143</v>
      </c>
      <c r="C61" s="16">
        <v>0</v>
      </c>
      <c r="D61" s="16">
        <v>2037</v>
      </c>
      <c r="E61" s="3" t="s">
        <v>525</v>
      </c>
      <c r="F61" s="3"/>
      <c r="G61" s="3">
        <f t="shared" si="0"/>
        <v>1886</v>
      </c>
      <c r="H61" s="3">
        <v>1796</v>
      </c>
      <c r="I61" s="3">
        <f t="shared" si="1"/>
        <v>3074</v>
      </c>
      <c r="J61" s="3">
        <f t="shared" si="2"/>
        <v>2928</v>
      </c>
      <c r="K61" s="7">
        <f t="shared" si="3"/>
        <v>2789</v>
      </c>
      <c r="L61" s="1">
        <f t="shared" si="4"/>
        <v>2682</v>
      </c>
      <c r="M61" s="1">
        <v>2579</v>
      </c>
      <c r="N61" s="1">
        <v>1.04</v>
      </c>
      <c r="O61" s="1">
        <v>1.04</v>
      </c>
      <c r="P61" s="1">
        <v>1.05</v>
      </c>
      <c r="Q61" s="1">
        <v>1.05</v>
      </c>
      <c r="R61" s="1">
        <v>1.05</v>
      </c>
      <c r="S61" s="1">
        <v>1.05</v>
      </c>
      <c r="T61" s="1">
        <v>1.08</v>
      </c>
      <c r="U61" s="1">
        <v>1551</v>
      </c>
      <c r="V61" s="1">
        <v>1629</v>
      </c>
      <c r="W61" s="1">
        <f t="shared" si="5"/>
        <v>1710</v>
      </c>
      <c r="X61" s="1">
        <v>2789</v>
      </c>
      <c r="Y61" s="1">
        <v>2928</v>
      </c>
      <c r="Z61" s="1">
        <v>3074</v>
      </c>
    </row>
    <row r="62" spans="1:26" ht="15" customHeight="1" x14ac:dyDescent="0.3">
      <c r="A62" s="3" t="s">
        <v>201</v>
      </c>
      <c r="B62" s="3" t="s">
        <v>401</v>
      </c>
      <c r="C62" s="16">
        <v>4.5</v>
      </c>
      <c r="D62" s="16">
        <v>1201</v>
      </c>
      <c r="E62" s="3" t="s">
        <v>101</v>
      </c>
      <c r="F62" s="3"/>
      <c r="G62" s="3">
        <f t="shared" si="0"/>
        <v>1112</v>
      </c>
      <c r="H62" s="3">
        <v>1059</v>
      </c>
      <c r="I62" s="3">
        <f t="shared" si="1"/>
        <v>1055</v>
      </c>
      <c r="J62" s="3">
        <f t="shared" si="2"/>
        <v>1005</v>
      </c>
      <c r="K62" s="7">
        <f t="shared" si="3"/>
        <v>957</v>
      </c>
      <c r="L62" s="1">
        <f t="shared" si="4"/>
        <v>920</v>
      </c>
      <c r="M62" s="1">
        <v>885</v>
      </c>
      <c r="N62" s="1">
        <v>1.04</v>
      </c>
      <c r="O62" s="1">
        <v>1.04</v>
      </c>
      <c r="P62" s="1">
        <v>1.05</v>
      </c>
      <c r="Q62" s="1">
        <v>1.05</v>
      </c>
      <c r="R62" s="1">
        <v>1.05</v>
      </c>
      <c r="S62" s="1">
        <v>1.05</v>
      </c>
      <c r="T62" s="1">
        <v>1.08</v>
      </c>
      <c r="U62" s="1">
        <v>914</v>
      </c>
      <c r="V62" s="1">
        <v>960</v>
      </c>
      <c r="W62" s="1">
        <f t="shared" si="5"/>
        <v>1008</v>
      </c>
      <c r="X62" s="1">
        <v>957</v>
      </c>
      <c r="Y62" s="1">
        <v>1005</v>
      </c>
      <c r="Z62" s="1">
        <v>1055</v>
      </c>
    </row>
    <row r="63" spans="1:26" x14ac:dyDescent="0.3">
      <c r="A63" s="1" t="s">
        <v>446</v>
      </c>
      <c r="B63" s="1" t="s">
        <v>447</v>
      </c>
      <c r="C63" s="7">
        <v>1</v>
      </c>
      <c r="D63" s="7">
        <v>0</v>
      </c>
      <c r="E63" s="1" t="s">
        <v>530</v>
      </c>
      <c r="G63" s="3">
        <f t="shared" si="0"/>
        <v>0</v>
      </c>
      <c r="H63" s="3">
        <v>0</v>
      </c>
      <c r="I63" s="3">
        <f t="shared" si="1"/>
        <v>1055</v>
      </c>
      <c r="J63" s="3">
        <f t="shared" si="2"/>
        <v>1005</v>
      </c>
      <c r="K63" s="7">
        <f t="shared" si="3"/>
        <v>957</v>
      </c>
      <c r="L63" s="1">
        <f t="shared" si="4"/>
        <v>920</v>
      </c>
      <c r="M63" s="1">
        <v>885</v>
      </c>
      <c r="N63" s="1">
        <v>1.04</v>
      </c>
      <c r="O63" s="1">
        <v>1.04</v>
      </c>
      <c r="P63" s="1">
        <v>1.05</v>
      </c>
      <c r="Q63" s="1">
        <v>1.05</v>
      </c>
      <c r="R63" s="1">
        <v>1.05</v>
      </c>
      <c r="S63" s="1">
        <v>1.05</v>
      </c>
      <c r="T63" s="1">
        <v>1.08</v>
      </c>
      <c r="U63" s="1">
        <v>0</v>
      </c>
      <c r="V63" s="1">
        <v>0</v>
      </c>
      <c r="W63" s="1">
        <f t="shared" si="5"/>
        <v>0</v>
      </c>
      <c r="X63" s="1">
        <v>957</v>
      </c>
      <c r="Y63" s="1">
        <v>1005</v>
      </c>
      <c r="Z63" s="1">
        <v>1055</v>
      </c>
    </row>
    <row r="64" spans="1:26" x14ac:dyDescent="0.3">
      <c r="A64" s="83" t="s">
        <v>259</v>
      </c>
      <c r="B64" s="83" t="s">
        <v>548</v>
      </c>
      <c r="C64" s="82">
        <v>0</v>
      </c>
      <c r="D64" s="82">
        <v>3317</v>
      </c>
      <c r="E64" s="83" t="s">
        <v>524</v>
      </c>
      <c r="F64" s="83"/>
      <c r="G64" s="3">
        <f t="shared" si="0"/>
        <v>3071</v>
      </c>
      <c r="H64" s="3">
        <v>2924</v>
      </c>
      <c r="I64" s="3">
        <f t="shared" si="1"/>
        <v>1710</v>
      </c>
      <c r="J64" s="3">
        <f t="shared" si="2"/>
        <v>1629</v>
      </c>
      <c r="K64" s="7">
        <f t="shared" si="3"/>
        <v>1551</v>
      </c>
      <c r="L64" s="1">
        <f t="shared" si="4"/>
        <v>1491</v>
      </c>
      <c r="M64" s="1">
        <v>1434</v>
      </c>
      <c r="N64" s="1">
        <v>1.04</v>
      </c>
      <c r="O64" s="1">
        <v>1.04</v>
      </c>
      <c r="P64" s="1">
        <v>1.05</v>
      </c>
      <c r="Q64" s="1">
        <v>1.05</v>
      </c>
      <c r="R64" s="1">
        <v>1.05</v>
      </c>
      <c r="S64" s="1">
        <v>1.05</v>
      </c>
      <c r="T64" s="1">
        <v>1.08</v>
      </c>
      <c r="U64" s="1">
        <v>2525</v>
      </c>
      <c r="V64" s="1">
        <v>2651</v>
      </c>
      <c r="W64" s="1">
        <f t="shared" si="5"/>
        <v>2784</v>
      </c>
      <c r="X64" s="1">
        <v>1551</v>
      </c>
      <c r="Y64" s="1">
        <v>1629</v>
      </c>
      <c r="Z64" s="1">
        <v>1710</v>
      </c>
    </row>
    <row r="65" spans="1:26" x14ac:dyDescent="0.3">
      <c r="A65" s="83" t="s">
        <v>260</v>
      </c>
      <c r="B65" s="83" t="s">
        <v>549</v>
      </c>
      <c r="C65" s="82">
        <v>0</v>
      </c>
      <c r="D65" s="82">
        <v>3662</v>
      </c>
      <c r="E65" s="83" t="s">
        <v>524</v>
      </c>
      <c r="F65" s="83"/>
      <c r="G65" s="3">
        <f t="shared" si="0"/>
        <v>3390</v>
      </c>
      <c r="H65" s="3">
        <v>3228</v>
      </c>
      <c r="I65" s="3">
        <f t="shared" si="1"/>
        <v>1710</v>
      </c>
      <c r="J65" s="3">
        <f t="shared" si="2"/>
        <v>1629</v>
      </c>
      <c r="K65" s="7">
        <f t="shared" si="3"/>
        <v>1551</v>
      </c>
      <c r="L65" s="1">
        <f t="shared" si="4"/>
        <v>1491</v>
      </c>
      <c r="M65" s="1">
        <v>1434</v>
      </c>
      <c r="N65" s="1">
        <v>1.04</v>
      </c>
      <c r="O65" s="1">
        <v>1.04</v>
      </c>
      <c r="P65" s="1">
        <v>1.05</v>
      </c>
      <c r="Q65" s="1">
        <v>1.05</v>
      </c>
      <c r="R65" s="1">
        <v>1.05</v>
      </c>
      <c r="S65" s="1">
        <v>1.05</v>
      </c>
      <c r="T65" s="1">
        <v>1.08</v>
      </c>
      <c r="U65" s="1">
        <v>2789</v>
      </c>
      <c r="V65" s="1">
        <v>2928</v>
      </c>
      <c r="W65" s="1">
        <f t="shared" si="5"/>
        <v>3074</v>
      </c>
      <c r="X65" s="1">
        <v>1551</v>
      </c>
      <c r="Y65" s="1">
        <v>1629</v>
      </c>
      <c r="Z65" s="1">
        <v>1710</v>
      </c>
    </row>
    <row r="66" spans="1:26" x14ac:dyDescent="0.3">
      <c r="A66" s="3" t="s">
        <v>261</v>
      </c>
      <c r="B66" s="3" t="s">
        <v>263</v>
      </c>
      <c r="C66" s="16">
        <v>0</v>
      </c>
      <c r="D66" s="16">
        <v>2082</v>
      </c>
      <c r="E66" s="3" t="s">
        <v>525</v>
      </c>
      <c r="F66" s="3"/>
      <c r="G66" s="3">
        <f t="shared" si="0"/>
        <v>1927</v>
      </c>
      <c r="H66" s="3">
        <v>1835</v>
      </c>
      <c r="I66" s="3">
        <f t="shared" si="1"/>
        <v>1747</v>
      </c>
      <c r="J66" s="3">
        <f t="shared" si="2"/>
        <v>1664</v>
      </c>
      <c r="K66" s="7">
        <f t="shared" si="3"/>
        <v>1585</v>
      </c>
      <c r="L66" s="1">
        <f t="shared" si="4"/>
        <v>1524</v>
      </c>
      <c r="M66" s="1">
        <v>1465</v>
      </c>
      <c r="N66" s="1">
        <v>1.04</v>
      </c>
      <c r="O66" s="1">
        <v>1.04</v>
      </c>
      <c r="P66" s="1">
        <v>1.05</v>
      </c>
      <c r="Q66" s="1">
        <v>1.05</v>
      </c>
      <c r="R66" s="1">
        <v>1.05</v>
      </c>
      <c r="S66" s="1">
        <v>1.05</v>
      </c>
      <c r="T66" s="1">
        <v>1.08</v>
      </c>
      <c r="U66" s="1">
        <v>1585</v>
      </c>
      <c r="V66" s="1">
        <v>1664</v>
      </c>
      <c r="W66" s="1">
        <f t="shared" si="5"/>
        <v>1747</v>
      </c>
      <c r="X66" s="1">
        <v>1585</v>
      </c>
      <c r="Y66" s="1">
        <v>1664</v>
      </c>
      <c r="Z66" s="1">
        <v>1747</v>
      </c>
    </row>
    <row r="67" spans="1:26" x14ac:dyDescent="0.3">
      <c r="A67" s="3" t="s">
        <v>262</v>
      </c>
      <c r="B67" s="3" t="s">
        <v>264</v>
      </c>
      <c r="C67" s="16">
        <v>0</v>
      </c>
      <c r="D67" s="16">
        <v>2082</v>
      </c>
      <c r="E67" s="3" t="s">
        <v>525</v>
      </c>
      <c r="F67" s="3"/>
      <c r="G67" s="3">
        <f t="shared" si="0"/>
        <v>1927</v>
      </c>
      <c r="H67" s="3">
        <v>1835</v>
      </c>
      <c r="I67" s="3">
        <f t="shared" si="1"/>
        <v>1747</v>
      </c>
      <c r="J67" s="3">
        <f t="shared" si="2"/>
        <v>1664</v>
      </c>
      <c r="K67" s="7">
        <f t="shared" si="3"/>
        <v>1585</v>
      </c>
      <c r="L67" s="1">
        <f t="shared" si="4"/>
        <v>1524</v>
      </c>
      <c r="M67" s="1">
        <v>1465</v>
      </c>
      <c r="N67" s="1">
        <v>1.04</v>
      </c>
      <c r="O67" s="1">
        <v>1.04</v>
      </c>
      <c r="P67" s="1">
        <v>1.05</v>
      </c>
      <c r="Q67" s="1">
        <v>1.05</v>
      </c>
      <c r="R67" s="1">
        <v>1.05</v>
      </c>
      <c r="S67" s="1">
        <v>1.05</v>
      </c>
      <c r="T67" s="1">
        <v>1.08</v>
      </c>
      <c r="U67" s="1">
        <v>1585</v>
      </c>
      <c r="V67" s="1">
        <v>1664</v>
      </c>
      <c r="W67" s="1">
        <f t="shared" si="5"/>
        <v>1747</v>
      </c>
      <c r="X67" s="1">
        <v>1585</v>
      </c>
      <c r="Y67" s="1">
        <v>1664</v>
      </c>
      <c r="Z67" s="1">
        <v>1747</v>
      </c>
    </row>
    <row r="68" spans="1:26" x14ac:dyDescent="0.3">
      <c r="A68" s="84" t="s">
        <v>531</v>
      </c>
      <c r="B68" s="84" t="s">
        <v>532</v>
      </c>
      <c r="C68" s="85">
        <v>0</v>
      </c>
      <c r="D68" s="85">
        <v>2657</v>
      </c>
      <c r="E68" s="83" t="s">
        <v>524</v>
      </c>
      <c r="F68" s="83"/>
      <c r="G68" s="3">
        <f t="shared" ref="G68:G97" si="6">ROUNDUP(H68*S68,0)</f>
        <v>2460</v>
      </c>
      <c r="H68" s="3">
        <v>2342</v>
      </c>
      <c r="I68" s="3">
        <f t="shared" ref="I68:I97" si="7">ROUND((J68*Q68),0)</f>
        <v>2230</v>
      </c>
      <c r="J68" s="3">
        <f t="shared" ref="J68:J97" si="8">ROUND((K68*P68),0)</f>
        <v>2124</v>
      </c>
      <c r="K68" s="7">
        <f t="shared" ref="K68:K97" si="9">ROUND((L68*O68),0)</f>
        <v>2023</v>
      </c>
      <c r="L68" s="1">
        <f t="shared" ref="L68:L97" si="10">ROUND((M68*N68),0)</f>
        <v>1945</v>
      </c>
      <c r="M68" s="1">
        <v>1870</v>
      </c>
      <c r="N68" s="1">
        <v>1.04</v>
      </c>
      <c r="O68" s="1">
        <v>1.04</v>
      </c>
      <c r="P68" s="1">
        <v>1.05</v>
      </c>
      <c r="Q68" s="1">
        <v>1.05</v>
      </c>
      <c r="R68" s="1">
        <v>1.05</v>
      </c>
      <c r="S68" s="1">
        <v>1.05</v>
      </c>
      <c r="T68" s="1">
        <v>1.08</v>
      </c>
      <c r="U68" s="1">
        <v>2023</v>
      </c>
      <c r="V68" s="1">
        <v>2124</v>
      </c>
      <c r="W68" s="1">
        <f t="shared" ref="W68:W97" si="11">VLOOKUP(V68,$Y$3:$Z$97,2,FALSE)</f>
        <v>2230</v>
      </c>
      <c r="X68" s="1">
        <v>2023</v>
      </c>
      <c r="Y68" s="1">
        <v>2124</v>
      </c>
      <c r="Z68" s="1">
        <v>2230</v>
      </c>
    </row>
    <row r="69" spans="1:26" x14ac:dyDescent="0.3">
      <c r="A69" s="84" t="s">
        <v>533</v>
      </c>
      <c r="B69" s="84" t="s">
        <v>534</v>
      </c>
      <c r="C69" s="85">
        <v>0</v>
      </c>
      <c r="D69" s="85">
        <v>3310</v>
      </c>
      <c r="E69" s="83" t="s">
        <v>524</v>
      </c>
      <c r="F69" s="83"/>
      <c r="G69" s="3">
        <f t="shared" si="6"/>
        <v>3064</v>
      </c>
      <c r="H69" s="3">
        <v>2918</v>
      </c>
      <c r="I69" s="3">
        <f t="shared" si="7"/>
        <v>2779</v>
      </c>
      <c r="J69" s="3">
        <f t="shared" si="8"/>
        <v>2647</v>
      </c>
      <c r="K69" s="7">
        <f t="shared" si="9"/>
        <v>2521</v>
      </c>
      <c r="L69" s="1">
        <f t="shared" si="10"/>
        <v>2424</v>
      </c>
      <c r="M69" s="1">
        <v>2331</v>
      </c>
      <c r="N69" s="1">
        <v>1.04</v>
      </c>
      <c r="O69" s="1">
        <v>1.04</v>
      </c>
      <c r="P69" s="1">
        <v>1.05</v>
      </c>
      <c r="Q69" s="1">
        <v>1.05</v>
      </c>
      <c r="R69" s="1">
        <v>1.05</v>
      </c>
      <c r="S69" s="1">
        <v>1.05</v>
      </c>
      <c r="T69" s="1">
        <v>1.08</v>
      </c>
      <c r="U69" s="1">
        <v>2521</v>
      </c>
      <c r="V69" s="1">
        <v>2647</v>
      </c>
      <c r="W69" s="1">
        <f t="shared" si="11"/>
        <v>2779</v>
      </c>
      <c r="X69" s="1">
        <v>2521</v>
      </c>
      <c r="Y69" s="1">
        <v>2647</v>
      </c>
      <c r="Z69" s="1">
        <v>2779</v>
      </c>
    </row>
    <row r="70" spans="1:26" x14ac:dyDescent="0.3">
      <c r="A70" s="84" t="s">
        <v>535</v>
      </c>
      <c r="B70" s="84" t="s">
        <v>536</v>
      </c>
      <c r="C70" s="85">
        <v>0</v>
      </c>
      <c r="D70" s="85">
        <v>3354</v>
      </c>
      <c r="E70" s="83" t="s">
        <v>524</v>
      </c>
      <c r="F70" s="83"/>
      <c r="G70" s="3">
        <f t="shared" si="6"/>
        <v>3105</v>
      </c>
      <c r="H70" s="3">
        <v>2957</v>
      </c>
      <c r="I70" s="3">
        <f t="shared" si="7"/>
        <v>2816</v>
      </c>
      <c r="J70" s="3">
        <f t="shared" si="8"/>
        <v>2682</v>
      </c>
      <c r="K70" s="7">
        <f t="shared" si="9"/>
        <v>2554</v>
      </c>
      <c r="L70" s="1">
        <f t="shared" si="10"/>
        <v>2456</v>
      </c>
      <c r="M70" s="1">
        <v>2362</v>
      </c>
      <c r="N70" s="1">
        <v>1.04</v>
      </c>
      <c r="O70" s="1">
        <v>1.04</v>
      </c>
      <c r="P70" s="1">
        <v>1.05</v>
      </c>
      <c r="Q70" s="1">
        <v>1.05</v>
      </c>
      <c r="R70" s="1">
        <v>1.05</v>
      </c>
      <c r="S70" s="1">
        <v>1.05</v>
      </c>
      <c r="T70" s="1">
        <v>1.08</v>
      </c>
      <c r="U70" s="1">
        <v>2554</v>
      </c>
      <c r="V70" s="1">
        <v>2682</v>
      </c>
      <c r="W70" s="1">
        <f t="shared" si="11"/>
        <v>2816</v>
      </c>
      <c r="X70" s="1">
        <v>2554</v>
      </c>
      <c r="Y70" s="1">
        <v>2682</v>
      </c>
      <c r="Z70" s="1">
        <v>2816</v>
      </c>
    </row>
    <row r="71" spans="1:26" x14ac:dyDescent="0.3">
      <c r="A71" s="1" t="s">
        <v>537</v>
      </c>
      <c r="B71" s="1" t="s">
        <v>540</v>
      </c>
      <c r="C71" s="7">
        <v>0</v>
      </c>
      <c r="D71" s="7">
        <v>1258</v>
      </c>
      <c r="E71" s="3" t="s">
        <v>525</v>
      </c>
      <c r="F71" s="3"/>
      <c r="G71" s="3">
        <f t="shared" si="6"/>
        <v>1164</v>
      </c>
      <c r="H71" s="3">
        <v>1108</v>
      </c>
      <c r="I71" s="3">
        <f t="shared" si="7"/>
        <v>1055</v>
      </c>
      <c r="J71" s="3">
        <f t="shared" si="8"/>
        <v>1005</v>
      </c>
      <c r="K71" s="7">
        <f t="shared" si="9"/>
        <v>957</v>
      </c>
      <c r="L71" s="1">
        <f t="shared" si="10"/>
        <v>920</v>
      </c>
      <c r="M71" s="1">
        <v>885</v>
      </c>
      <c r="N71" s="1">
        <v>1.04</v>
      </c>
      <c r="O71" s="1">
        <v>1.04</v>
      </c>
      <c r="P71" s="1">
        <v>1.05</v>
      </c>
      <c r="Q71" s="1">
        <v>1.05</v>
      </c>
      <c r="R71" s="1">
        <v>1.05</v>
      </c>
      <c r="S71" s="1">
        <v>1.05</v>
      </c>
      <c r="T71" s="1">
        <v>1.08</v>
      </c>
      <c r="U71" s="1">
        <v>957</v>
      </c>
      <c r="V71" s="1">
        <v>1005</v>
      </c>
      <c r="W71" s="1">
        <f t="shared" si="11"/>
        <v>1055</v>
      </c>
      <c r="X71" s="1">
        <v>957</v>
      </c>
      <c r="Y71" s="1">
        <v>1005</v>
      </c>
      <c r="Z71" s="1">
        <v>1055</v>
      </c>
    </row>
    <row r="72" spans="1:26" x14ac:dyDescent="0.3">
      <c r="A72" s="1" t="s">
        <v>538</v>
      </c>
      <c r="B72" s="1" t="s">
        <v>541</v>
      </c>
      <c r="C72" s="7">
        <v>0</v>
      </c>
      <c r="D72" s="7">
        <v>2037</v>
      </c>
      <c r="E72" s="3" t="s">
        <v>525</v>
      </c>
      <c r="F72" s="3"/>
      <c r="G72" s="3">
        <f t="shared" si="6"/>
        <v>1886</v>
      </c>
      <c r="H72" s="3">
        <v>1796</v>
      </c>
      <c r="I72" s="3">
        <f t="shared" si="7"/>
        <v>1710</v>
      </c>
      <c r="J72" s="3">
        <f t="shared" si="8"/>
        <v>1629</v>
      </c>
      <c r="K72" s="7">
        <f t="shared" si="9"/>
        <v>1551</v>
      </c>
      <c r="L72" s="1">
        <f t="shared" si="10"/>
        <v>1491</v>
      </c>
      <c r="M72" s="1">
        <v>1434</v>
      </c>
      <c r="N72" s="1">
        <v>1.04</v>
      </c>
      <c r="O72" s="1">
        <v>1.04</v>
      </c>
      <c r="P72" s="1">
        <v>1.05</v>
      </c>
      <c r="Q72" s="1">
        <v>1.05</v>
      </c>
      <c r="R72" s="1">
        <v>1.05</v>
      </c>
      <c r="S72" s="1">
        <v>1.05</v>
      </c>
      <c r="T72" s="1">
        <v>1.08</v>
      </c>
      <c r="U72" s="1">
        <v>1551</v>
      </c>
      <c r="V72" s="1">
        <v>1629</v>
      </c>
      <c r="W72" s="1">
        <f t="shared" si="11"/>
        <v>1710</v>
      </c>
      <c r="X72" s="1">
        <v>1551</v>
      </c>
      <c r="Y72" s="1">
        <v>1629</v>
      </c>
      <c r="Z72" s="1">
        <v>1710</v>
      </c>
    </row>
    <row r="73" spans="1:26" ht="15" customHeight="1" x14ac:dyDescent="0.3">
      <c r="A73" s="1" t="s">
        <v>539</v>
      </c>
      <c r="B73" s="1" t="s">
        <v>542</v>
      </c>
      <c r="C73" s="7">
        <v>0</v>
      </c>
      <c r="D73" s="7">
        <v>2082</v>
      </c>
      <c r="E73" s="3" t="s">
        <v>525</v>
      </c>
      <c r="F73" s="3"/>
      <c r="G73" s="3">
        <f t="shared" si="6"/>
        <v>1927</v>
      </c>
      <c r="H73" s="3">
        <v>1835</v>
      </c>
      <c r="I73" s="3">
        <f t="shared" si="7"/>
        <v>1747</v>
      </c>
      <c r="J73" s="3">
        <f t="shared" si="8"/>
        <v>1664</v>
      </c>
      <c r="K73" s="7">
        <f t="shared" si="9"/>
        <v>1585</v>
      </c>
      <c r="L73" s="1">
        <f t="shared" si="10"/>
        <v>1524</v>
      </c>
      <c r="M73" s="1">
        <v>1465</v>
      </c>
      <c r="N73" s="1">
        <v>1.04</v>
      </c>
      <c r="O73" s="1">
        <v>1.04</v>
      </c>
      <c r="P73" s="1">
        <v>1.05</v>
      </c>
      <c r="Q73" s="1">
        <v>1.05</v>
      </c>
      <c r="R73" s="1">
        <v>1.05</v>
      </c>
      <c r="S73" s="1">
        <v>1.05</v>
      </c>
      <c r="T73" s="1">
        <v>1.08</v>
      </c>
      <c r="U73" s="1">
        <v>1585</v>
      </c>
      <c r="V73" s="1">
        <v>1664</v>
      </c>
      <c r="W73" s="1">
        <f t="shared" si="11"/>
        <v>1747</v>
      </c>
      <c r="X73" s="1">
        <v>1585</v>
      </c>
      <c r="Y73" s="1">
        <v>1664</v>
      </c>
      <c r="Z73" s="1">
        <v>1747</v>
      </c>
    </row>
    <row r="74" spans="1:26" x14ac:dyDescent="0.3">
      <c r="A74" s="7" t="s">
        <v>569</v>
      </c>
      <c r="B74" s="7" t="s">
        <v>586</v>
      </c>
      <c r="C74" s="7">
        <v>0</v>
      </c>
      <c r="D74" s="7">
        <v>2132</v>
      </c>
      <c r="E74" s="7" t="s">
        <v>152</v>
      </c>
      <c r="F74" s="7"/>
      <c r="G74" s="3">
        <f t="shared" si="6"/>
        <v>1974</v>
      </c>
      <c r="H74" s="3">
        <v>1880</v>
      </c>
      <c r="I74" s="3">
        <f t="shared" si="7"/>
        <v>1790</v>
      </c>
      <c r="J74" s="3">
        <f t="shared" si="8"/>
        <v>1705</v>
      </c>
      <c r="K74" s="7">
        <f t="shared" si="9"/>
        <v>1624</v>
      </c>
      <c r="L74" s="1">
        <f t="shared" si="10"/>
        <v>1562</v>
      </c>
      <c r="M74" s="1">
        <v>1562</v>
      </c>
      <c r="N74" s="56">
        <v>1</v>
      </c>
      <c r="O74" s="1">
        <v>1.04</v>
      </c>
      <c r="P74" s="1">
        <v>1.05</v>
      </c>
      <c r="Q74" s="1">
        <v>1.05</v>
      </c>
      <c r="R74" s="1">
        <v>1.05</v>
      </c>
      <c r="S74" s="1">
        <v>1.05</v>
      </c>
      <c r="T74" s="1">
        <v>1.08</v>
      </c>
      <c r="U74" s="1">
        <v>1624</v>
      </c>
      <c r="V74" s="1">
        <v>1705</v>
      </c>
      <c r="W74" s="1">
        <f t="shared" si="11"/>
        <v>1790</v>
      </c>
      <c r="X74" s="1">
        <v>1624</v>
      </c>
      <c r="Y74" s="1">
        <v>1705</v>
      </c>
      <c r="Z74" s="1">
        <v>1790</v>
      </c>
    </row>
    <row r="75" spans="1:26" x14ac:dyDescent="0.3">
      <c r="A75" s="7" t="s">
        <v>570</v>
      </c>
      <c r="B75" s="7" t="s">
        <v>578</v>
      </c>
      <c r="C75" s="7">
        <v>1</v>
      </c>
      <c r="D75" s="7">
        <v>0</v>
      </c>
      <c r="E75" s="7" t="s">
        <v>526</v>
      </c>
      <c r="F75" s="7"/>
      <c r="G75" s="3">
        <f t="shared" si="6"/>
        <v>0</v>
      </c>
      <c r="H75" s="3">
        <v>0</v>
      </c>
      <c r="I75" s="3">
        <f t="shared" si="7"/>
        <v>0</v>
      </c>
      <c r="J75" s="3">
        <f t="shared" si="8"/>
        <v>0</v>
      </c>
      <c r="K75" s="7">
        <f t="shared" si="9"/>
        <v>0</v>
      </c>
      <c r="L75" s="1">
        <f t="shared" si="10"/>
        <v>0</v>
      </c>
      <c r="M75" s="1">
        <v>0</v>
      </c>
      <c r="N75" s="56">
        <v>1</v>
      </c>
      <c r="O75" s="1">
        <v>1.04</v>
      </c>
      <c r="P75" s="1">
        <v>1.05</v>
      </c>
      <c r="Q75" s="1">
        <v>1.05</v>
      </c>
      <c r="R75" s="1">
        <v>1.05</v>
      </c>
      <c r="S75" s="1">
        <v>1.05</v>
      </c>
      <c r="T75" s="1">
        <v>1.08</v>
      </c>
      <c r="U75" s="1">
        <v>0</v>
      </c>
      <c r="V75" s="1">
        <v>0</v>
      </c>
      <c r="W75" s="1">
        <f t="shared" si="11"/>
        <v>0</v>
      </c>
      <c r="X75" s="1">
        <v>0</v>
      </c>
      <c r="Y75" s="1">
        <v>0</v>
      </c>
      <c r="Z75" s="1">
        <v>0</v>
      </c>
    </row>
    <row r="76" spans="1:26" x14ac:dyDescent="0.3">
      <c r="A76" s="7" t="s">
        <v>571</v>
      </c>
      <c r="B76" s="7" t="s">
        <v>579</v>
      </c>
      <c r="C76" s="7">
        <v>2</v>
      </c>
      <c r="D76" s="7">
        <v>0</v>
      </c>
      <c r="E76" s="7" t="s">
        <v>527</v>
      </c>
      <c r="F76" s="7"/>
      <c r="G76" s="3">
        <f t="shared" si="6"/>
        <v>0</v>
      </c>
      <c r="H76" s="3">
        <v>0</v>
      </c>
      <c r="I76" s="3">
        <f t="shared" si="7"/>
        <v>0</v>
      </c>
      <c r="J76" s="3">
        <f t="shared" si="8"/>
        <v>0</v>
      </c>
      <c r="K76" s="7">
        <f t="shared" si="9"/>
        <v>0</v>
      </c>
      <c r="L76" s="1">
        <f t="shared" si="10"/>
        <v>0</v>
      </c>
      <c r="M76" s="1">
        <v>0</v>
      </c>
      <c r="N76" s="56">
        <v>1</v>
      </c>
      <c r="O76" s="1">
        <v>1.04</v>
      </c>
      <c r="P76" s="1">
        <v>1.05</v>
      </c>
      <c r="Q76" s="1">
        <v>1.05</v>
      </c>
      <c r="R76" s="1">
        <v>1.05</v>
      </c>
      <c r="S76" s="1">
        <v>1.05</v>
      </c>
      <c r="T76" s="1">
        <v>1.08</v>
      </c>
      <c r="U76" s="1">
        <v>0</v>
      </c>
      <c r="V76" s="1">
        <v>0</v>
      </c>
      <c r="W76" s="1">
        <f t="shared" si="11"/>
        <v>0</v>
      </c>
      <c r="X76" s="1">
        <v>0</v>
      </c>
      <c r="Y76" s="1">
        <v>0</v>
      </c>
      <c r="Z76" s="1">
        <v>0</v>
      </c>
    </row>
    <row r="77" spans="1:26" x14ac:dyDescent="0.3">
      <c r="A77" s="7" t="s">
        <v>572</v>
      </c>
      <c r="B77" s="7" t="s">
        <v>580</v>
      </c>
      <c r="C77" s="7">
        <v>4.5</v>
      </c>
      <c r="D77" s="7">
        <v>1767</v>
      </c>
      <c r="E77" s="7" t="s">
        <v>237</v>
      </c>
      <c r="F77" s="7"/>
      <c r="G77" s="3">
        <f t="shared" si="6"/>
        <v>1636</v>
      </c>
      <c r="H77" s="3">
        <v>1558</v>
      </c>
      <c r="I77" s="3">
        <f t="shared" si="7"/>
        <v>1483</v>
      </c>
      <c r="J77" s="3">
        <f t="shared" si="8"/>
        <v>1412</v>
      </c>
      <c r="K77" s="7">
        <f t="shared" si="9"/>
        <v>1345</v>
      </c>
      <c r="L77" s="1">
        <f t="shared" si="10"/>
        <v>1293</v>
      </c>
      <c r="M77" s="1">
        <v>1293</v>
      </c>
      <c r="N77" s="56">
        <v>1</v>
      </c>
      <c r="O77" s="1">
        <v>1.04</v>
      </c>
      <c r="P77" s="1">
        <v>1.05</v>
      </c>
      <c r="Q77" s="1">
        <v>1.05</v>
      </c>
      <c r="R77" s="1">
        <v>1.05</v>
      </c>
      <c r="S77" s="1">
        <v>1.05</v>
      </c>
      <c r="T77" s="1">
        <v>1.08</v>
      </c>
      <c r="U77" s="1">
        <v>1345</v>
      </c>
      <c r="V77" s="1">
        <v>1412</v>
      </c>
      <c r="W77" s="1">
        <f t="shared" si="11"/>
        <v>1483</v>
      </c>
      <c r="X77" s="1">
        <v>1345</v>
      </c>
      <c r="Y77" s="1">
        <v>1412</v>
      </c>
      <c r="Z77" s="1">
        <v>1483</v>
      </c>
    </row>
    <row r="78" spans="1:26" x14ac:dyDescent="0.3">
      <c r="A78" s="7" t="s">
        <v>573</v>
      </c>
      <c r="B78" s="7" t="s">
        <v>581</v>
      </c>
      <c r="C78" s="7">
        <v>0</v>
      </c>
      <c r="D78" s="7">
        <v>1775</v>
      </c>
      <c r="E78" s="7" t="s">
        <v>582</v>
      </c>
      <c r="F78" s="7"/>
      <c r="G78" s="3">
        <f t="shared" si="6"/>
        <v>1643</v>
      </c>
      <c r="H78" s="3">
        <v>1564</v>
      </c>
      <c r="I78" s="3">
        <f t="shared" si="7"/>
        <v>1489</v>
      </c>
      <c r="J78" s="3">
        <f t="shared" si="8"/>
        <v>1418</v>
      </c>
      <c r="K78" s="7">
        <f t="shared" si="9"/>
        <v>1350</v>
      </c>
      <c r="L78" s="1">
        <f t="shared" si="10"/>
        <v>1298</v>
      </c>
      <c r="M78" s="1">
        <v>1298</v>
      </c>
      <c r="N78" s="56">
        <v>1</v>
      </c>
      <c r="O78" s="1">
        <v>1.04</v>
      </c>
      <c r="P78" s="1">
        <v>1.05</v>
      </c>
      <c r="Q78" s="1">
        <v>1.05</v>
      </c>
      <c r="R78" s="1">
        <v>1.05</v>
      </c>
      <c r="S78" s="1">
        <v>1.05</v>
      </c>
      <c r="T78" s="1">
        <v>1.08</v>
      </c>
      <c r="U78" s="1">
        <v>1350</v>
      </c>
      <c r="V78" s="1">
        <v>1418</v>
      </c>
      <c r="W78" s="1">
        <f t="shared" si="11"/>
        <v>1489</v>
      </c>
      <c r="X78" s="1">
        <v>1350</v>
      </c>
      <c r="Y78" s="1">
        <v>1418</v>
      </c>
      <c r="Z78" s="1">
        <v>1489</v>
      </c>
    </row>
    <row r="79" spans="1:26" x14ac:dyDescent="0.3">
      <c r="A79" s="7" t="s">
        <v>574</v>
      </c>
      <c r="B79" s="7" t="s">
        <v>161</v>
      </c>
      <c r="C79" s="7">
        <v>2</v>
      </c>
      <c r="D79" s="7">
        <v>780</v>
      </c>
      <c r="E79" s="7" t="s">
        <v>520</v>
      </c>
      <c r="F79" s="7"/>
      <c r="G79" s="3">
        <f t="shared" si="6"/>
        <v>722</v>
      </c>
      <c r="H79" s="3">
        <v>687</v>
      </c>
      <c r="I79" s="3">
        <f t="shared" si="7"/>
        <v>654</v>
      </c>
      <c r="J79" s="3">
        <f t="shared" si="8"/>
        <v>623</v>
      </c>
      <c r="K79" s="7">
        <f t="shared" si="9"/>
        <v>593</v>
      </c>
      <c r="L79" s="1">
        <f t="shared" si="10"/>
        <v>570</v>
      </c>
      <c r="M79" s="1">
        <v>570</v>
      </c>
      <c r="N79" s="56">
        <v>1</v>
      </c>
      <c r="O79" s="1">
        <v>1.04</v>
      </c>
      <c r="P79" s="1">
        <v>1.05</v>
      </c>
      <c r="Q79" s="1">
        <v>1.05</v>
      </c>
      <c r="R79" s="1">
        <v>1.05</v>
      </c>
      <c r="S79" s="1">
        <v>1.05</v>
      </c>
      <c r="T79" s="1">
        <v>1.08</v>
      </c>
      <c r="U79" s="1">
        <v>593</v>
      </c>
      <c r="V79" s="1">
        <v>623</v>
      </c>
      <c r="W79" s="1">
        <f t="shared" si="11"/>
        <v>654</v>
      </c>
      <c r="X79" s="1">
        <v>593</v>
      </c>
      <c r="Y79" s="1">
        <v>623</v>
      </c>
      <c r="Z79" s="1">
        <v>654</v>
      </c>
    </row>
    <row r="80" spans="1:26" x14ac:dyDescent="0.3">
      <c r="A80" s="7" t="s">
        <v>575</v>
      </c>
      <c r="B80" s="7" t="s">
        <v>583</v>
      </c>
      <c r="C80" s="7">
        <v>1.75</v>
      </c>
      <c r="D80" s="7">
        <v>666</v>
      </c>
      <c r="E80" s="7" t="s">
        <v>101</v>
      </c>
      <c r="F80" s="7"/>
      <c r="G80" s="3">
        <f t="shared" si="6"/>
        <v>616</v>
      </c>
      <c r="H80" s="3">
        <v>586</v>
      </c>
      <c r="I80" s="3">
        <f t="shared" si="7"/>
        <v>558</v>
      </c>
      <c r="J80" s="3">
        <f t="shared" si="8"/>
        <v>531</v>
      </c>
      <c r="K80" s="7">
        <f t="shared" si="9"/>
        <v>506</v>
      </c>
      <c r="L80" s="1">
        <f t="shared" si="10"/>
        <v>487</v>
      </c>
      <c r="M80" s="1">
        <v>487</v>
      </c>
      <c r="N80" s="56">
        <v>1</v>
      </c>
      <c r="O80" s="1">
        <v>1.04</v>
      </c>
      <c r="P80" s="1">
        <v>1.05</v>
      </c>
      <c r="Q80" s="1">
        <v>1.05</v>
      </c>
      <c r="R80" s="1">
        <v>1.05</v>
      </c>
      <c r="S80" s="1">
        <v>1.05</v>
      </c>
      <c r="T80" s="1">
        <v>1.08</v>
      </c>
      <c r="U80" s="1">
        <v>506</v>
      </c>
      <c r="V80" s="1">
        <v>531</v>
      </c>
      <c r="W80" s="1">
        <f t="shared" si="11"/>
        <v>558</v>
      </c>
      <c r="X80" s="1">
        <v>506</v>
      </c>
      <c r="Y80" s="1">
        <v>531</v>
      </c>
      <c r="Z80" s="1">
        <v>558</v>
      </c>
    </row>
    <row r="81" spans="1:26" x14ac:dyDescent="0.3">
      <c r="A81" s="7" t="s">
        <v>576</v>
      </c>
      <c r="B81" s="7" t="s">
        <v>584</v>
      </c>
      <c r="C81" s="7">
        <v>1.5</v>
      </c>
      <c r="D81" s="7">
        <v>700</v>
      </c>
      <c r="E81" s="7" t="s">
        <v>101</v>
      </c>
      <c r="F81" s="7"/>
      <c r="G81" s="3">
        <f t="shared" si="6"/>
        <v>648</v>
      </c>
      <c r="H81" s="3">
        <v>617</v>
      </c>
      <c r="I81" s="3">
        <f t="shared" si="7"/>
        <v>587</v>
      </c>
      <c r="J81" s="3">
        <f t="shared" si="8"/>
        <v>559</v>
      </c>
      <c r="K81" s="7">
        <f t="shared" si="9"/>
        <v>532</v>
      </c>
      <c r="L81" s="1">
        <f t="shared" si="10"/>
        <v>512</v>
      </c>
      <c r="M81" s="1">
        <v>512</v>
      </c>
      <c r="N81" s="56">
        <v>1</v>
      </c>
      <c r="O81" s="1">
        <v>1.04</v>
      </c>
      <c r="P81" s="1">
        <v>1.05</v>
      </c>
      <c r="Q81" s="1">
        <v>1.05</v>
      </c>
      <c r="R81" s="1">
        <v>1.05</v>
      </c>
      <c r="S81" s="1">
        <v>1.05</v>
      </c>
      <c r="T81" s="1">
        <v>1.08</v>
      </c>
      <c r="U81" s="1">
        <v>532</v>
      </c>
      <c r="V81" s="1">
        <v>559</v>
      </c>
      <c r="W81" s="1">
        <f t="shared" si="11"/>
        <v>587</v>
      </c>
      <c r="X81" s="1">
        <v>532</v>
      </c>
      <c r="Y81" s="1">
        <v>559</v>
      </c>
      <c r="Z81" s="1">
        <v>587</v>
      </c>
    </row>
    <row r="82" spans="1:26" x14ac:dyDescent="0.3">
      <c r="A82" s="7" t="s">
        <v>577</v>
      </c>
      <c r="B82" s="7" t="s">
        <v>585</v>
      </c>
      <c r="C82" s="7">
        <v>0</v>
      </c>
      <c r="D82" s="7">
        <v>1463</v>
      </c>
      <c r="E82" s="7" t="s">
        <v>523</v>
      </c>
      <c r="F82" s="7"/>
      <c r="G82" s="3">
        <f t="shared" si="6"/>
        <v>1354</v>
      </c>
      <c r="H82" s="3">
        <v>1289</v>
      </c>
      <c r="I82" s="3">
        <f t="shared" si="7"/>
        <v>1227</v>
      </c>
      <c r="J82" s="3">
        <f t="shared" si="8"/>
        <v>1169</v>
      </c>
      <c r="K82" s="7">
        <f t="shared" si="9"/>
        <v>1113</v>
      </c>
      <c r="L82" s="1">
        <f t="shared" si="10"/>
        <v>1070</v>
      </c>
      <c r="M82" s="1">
        <v>1070</v>
      </c>
      <c r="N82" s="56">
        <v>1</v>
      </c>
      <c r="O82" s="1">
        <v>1.04</v>
      </c>
      <c r="P82" s="1">
        <v>1.05</v>
      </c>
      <c r="Q82" s="1">
        <v>1.05</v>
      </c>
      <c r="R82" s="1">
        <v>1.05</v>
      </c>
      <c r="S82" s="1">
        <v>1.05</v>
      </c>
      <c r="T82" s="1">
        <v>1.08</v>
      </c>
      <c r="U82" s="1">
        <v>1113</v>
      </c>
      <c r="V82" s="1">
        <v>1169</v>
      </c>
      <c r="W82" s="1">
        <f t="shared" si="11"/>
        <v>1227</v>
      </c>
      <c r="X82" s="1">
        <v>1113</v>
      </c>
      <c r="Y82" s="1">
        <v>1169</v>
      </c>
      <c r="Z82" s="1">
        <v>1227</v>
      </c>
    </row>
    <row r="83" spans="1:26" x14ac:dyDescent="0.3">
      <c r="A83" s="1" t="s">
        <v>589</v>
      </c>
      <c r="B83" s="1" t="s">
        <v>605</v>
      </c>
      <c r="C83" s="7">
        <v>2</v>
      </c>
      <c r="D83" s="7">
        <v>0</v>
      </c>
      <c r="E83" s="1" t="s">
        <v>606</v>
      </c>
      <c r="G83" s="3">
        <f t="shared" si="6"/>
        <v>0</v>
      </c>
      <c r="H83" s="3">
        <v>0</v>
      </c>
      <c r="I83" s="3">
        <f t="shared" si="7"/>
        <v>0</v>
      </c>
      <c r="J83" s="3">
        <f t="shared" si="8"/>
        <v>0</v>
      </c>
      <c r="K83" s="7">
        <f t="shared" si="9"/>
        <v>0</v>
      </c>
      <c r="L83" s="1">
        <f t="shared" si="10"/>
        <v>0</v>
      </c>
      <c r="M83" s="1">
        <v>0</v>
      </c>
      <c r="N83" s="56">
        <v>1</v>
      </c>
      <c r="O83" s="1">
        <v>1.04</v>
      </c>
      <c r="P83" s="1">
        <v>1.05</v>
      </c>
      <c r="Q83" s="1">
        <v>1.05</v>
      </c>
      <c r="R83" s="1">
        <v>1.05</v>
      </c>
      <c r="S83" s="1">
        <v>1.05</v>
      </c>
      <c r="T83" s="1">
        <v>1.08</v>
      </c>
      <c r="U83" s="1">
        <v>0</v>
      </c>
      <c r="V83" s="1">
        <v>0</v>
      </c>
      <c r="W83" s="1">
        <f t="shared" si="11"/>
        <v>0</v>
      </c>
      <c r="X83" s="1">
        <v>0</v>
      </c>
      <c r="Y83" s="1">
        <v>0</v>
      </c>
      <c r="Z83" s="1">
        <v>0</v>
      </c>
    </row>
    <row r="84" spans="1:26" x14ac:dyDescent="0.3">
      <c r="A84" s="7" t="s">
        <v>615</v>
      </c>
      <c r="B84" s="7" t="s">
        <v>616</v>
      </c>
      <c r="C84" s="7">
        <v>0</v>
      </c>
      <c r="D84" s="7">
        <v>2874</v>
      </c>
      <c r="E84" s="7" t="s">
        <v>152</v>
      </c>
      <c r="F84" s="7"/>
      <c r="G84" s="3">
        <f t="shared" si="6"/>
        <v>2661</v>
      </c>
      <c r="H84" s="3">
        <v>2534</v>
      </c>
      <c r="I84" s="3">
        <f t="shared" si="7"/>
        <v>2413</v>
      </c>
      <c r="J84" s="3">
        <f t="shared" si="8"/>
        <v>2298</v>
      </c>
      <c r="K84" s="7">
        <f t="shared" si="9"/>
        <v>2189</v>
      </c>
      <c r="L84" s="7">
        <f t="shared" si="10"/>
        <v>2105</v>
      </c>
      <c r="M84" s="7">
        <v>2105</v>
      </c>
      <c r="N84" s="95">
        <v>1</v>
      </c>
      <c r="O84" s="1">
        <v>1.04</v>
      </c>
      <c r="P84" s="1">
        <v>1.05</v>
      </c>
      <c r="Q84" s="1">
        <v>1.05</v>
      </c>
      <c r="R84" s="1">
        <v>1.05</v>
      </c>
      <c r="S84" s="1">
        <v>1.05</v>
      </c>
      <c r="T84" s="1">
        <v>1.08</v>
      </c>
      <c r="U84" s="1">
        <v>2189</v>
      </c>
      <c r="V84" s="1">
        <v>2298</v>
      </c>
      <c r="W84" s="1">
        <f t="shared" si="11"/>
        <v>2413</v>
      </c>
      <c r="X84" s="1">
        <v>2189</v>
      </c>
      <c r="Y84" s="1">
        <v>2298</v>
      </c>
      <c r="Z84" s="1">
        <v>2413</v>
      </c>
    </row>
    <row r="85" spans="1:26" x14ac:dyDescent="0.3">
      <c r="A85" s="7" t="s">
        <v>618</v>
      </c>
      <c r="B85" s="7" t="s">
        <v>619</v>
      </c>
      <c r="C85" s="7">
        <v>1.75</v>
      </c>
      <c r="D85" s="7">
        <v>0</v>
      </c>
      <c r="E85" s="7" t="s">
        <v>622</v>
      </c>
      <c r="F85" s="7"/>
      <c r="G85" s="3">
        <f t="shared" si="6"/>
        <v>0</v>
      </c>
      <c r="H85" s="3">
        <v>0</v>
      </c>
      <c r="I85" s="3">
        <f t="shared" si="7"/>
        <v>0</v>
      </c>
      <c r="J85" s="3">
        <f t="shared" si="8"/>
        <v>0</v>
      </c>
      <c r="K85" s="7">
        <f t="shared" si="9"/>
        <v>0</v>
      </c>
      <c r="L85" s="7">
        <f t="shared" si="10"/>
        <v>0</v>
      </c>
      <c r="M85" s="7">
        <v>0</v>
      </c>
      <c r="N85" s="95">
        <v>1</v>
      </c>
      <c r="O85" s="1">
        <v>1.04</v>
      </c>
      <c r="P85" s="1">
        <v>1.05</v>
      </c>
      <c r="Q85" s="1">
        <v>1.05</v>
      </c>
      <c r="R85" s="1">
        <v>1.05</v>
      </c>
      <c r="S85" s="1">
        <v>1.05</v>
      </c>
      <c r="T85" s="1">
        <v>1.08</v>
      </c>
      <c r="U85" s="1">
        <v>0</v>
      </c>
      <c r="V85" s="1">
        <v>0</v>
      </c>
      <c r="W85" s="1">
        <f t="shared" si="11"/>
        <v>0</v>
      </c>
      <c r="X85" s="1">
        <v>0</v>
      </c>
      <c r="Y85" s="1">
        <v>0</v>
      </c>
      <c r="Z85" s="1">
        <v>0</v>
      </c>
    </row>
    <row r="86" spans="1:26" x14ac:dyDescent="0.3">
      <c r="A86" s="7" t="s">
        <v>621</v>
      </c>
      <c r="B86" s="7" t="s">
        <v>620</v>
      </c>
      <c r="C86" s="7">
        <v>4.5</v>
      </c>
      <c r="D86" s="7">
        <v>0</v>
      </c>
      <c r="E86" s="7" t="s">
        <v>527</v>
      </c>
      <c r="F86" s="7"/>
      <c r="G86" s="3">
        <f t="shared" si="6"/>
        <v>0</v>
      </c>
      <c r="H86" s="3">
        <v>0</v>
      </c>
      <c r="I86" s="3">
        <f t="shared" si="7"/>
        <v>0</v>
      </c>
      <c r="J86" s="3">
        <f t="shared" si="8"/>
        <v>0</v>
      </c>
      <c r="K86" s="7">
        <f t="shared" si="9"/>
        <v>0</v>
      </c>
      <c r="L86" s="7">
        <f t="shared" si="10"/>
        <v>0</v>
      </c>
      <c r="M86" s="7">
        <v>0</v>
      </c>
      <c r="N86" s="95">
        <v>1</v>
      </c>
      <c r="O86" s="1">
        <v>1.04</v>
      </c>
      <c r="P86" s="1">
        <v>1.05</v>
      </c>
      <c r="Q86" s="1">
        <v>1.05</v>
      </c>
      <c r="R86" s="1">
        <v>1.05</v>
      </c>
      <c r="S86" s="1">
        <v>1.05</v>
      </c>
      <c r="T86" s="1">
        <v>1.08</v>
      </c>
      <c r="U86" s="1">
        <v>0</v>
      </c>
      <c r="V86" s="1">
        <v>0</v>
      </c>
      <c r="W86" s="1">
        <f t="shared" si="11"/>
        <v>0</v>
      </c>
      <c r="X86" s="1">
        <v>0</v>
      </c>
      <c r="Y86" s="1">
        <v>0</v>
      </c>
      <c r="Z86" s="1">
        <v>0</v>
      </c>
    </row>
    <row r="87" spans="1:26" x14ac:dyDescent="0.3">
      <c r="A87" s="7" t="s">
        <v>630</v>
      </c>
      <c r="B87" s="7" t="s">
        <v>632</v>
      </c>
      <c r="C87" s="7">
        <v>1.75</v>
      </c>
      <c r="D87" s="7">
        <v>0</v>
      </c>
      <c r="E87" s="7" t="s">
        <v>528</v>
      </c>
      <c r="F87" s="7"/>
      <c r="G87" s="3">
        <f t="shared" si="6"/>
        <v>0</v>
      </c>
      <c r="H87" s="3">
        <v>0</v>
      </c>
      <c r="I87" s="3">
        <f t="shared" si="7"/>
        <v>0</v>
      </c>
      <c r="J87" s="3">
        <f t="shared" si="8"/>
        <v>0</v>
      </c>
      <c r="K87" s="7">
        <f t="shared" si="9"/>
        <v>0</v>
      </c>
      <c r="L87" s="7">
        <f t="shared" si="10"/>
        <v>0</v>
      </c>
      <c r="M87" s="7">
        <v>0</v>
      </c>
      <c r="N87" s="95">
        <v>1</v>
      </c>
      <c r="O87" s="1">
        <v>1.04</v>
      </c>
      <c r="P87" s="1">
        <v>1.05</v>
      </c>
      <c r="Q87" s="1">
        <v>1.05</v>
      </c>
      <c r="R87" s="1">
        <v>1.05</v>
      </c>
      <c r="S87" s="1">
        <v>1.05</v>
      </c>
      <c r="T87" s="1">
        <v>1.08</v>
      </c>
      <c r="U87" s="1">
        <v>0</v>
      </c>
      <c r="V87" s="1">
        <v>0</v>
      </c>
      <c r="W87" s="1">
        <f t="shared" si="11"/>
        <v>0</v>
      </c>
      <c r="X87" s="1">
        <v>0</v>
      </c>
      <c r="Y87" s="1">
        <v>0</v>
      </c>
      <c r="Z87" s="1">
        <v>0</v>
      </c>
    </row>
    <row r="88" spans="1:26" x14ac:dyDescent="0.3">
      <c r="A88" s="7" t="s">
        <v>631</v>
      </c>
      <c r="B88" s="7" t="s">
        <v>633</v>
      </c>
      <c r="C88" s="7">
        <v>1.75</v>
      </c>
      <c r="D88" s="7">
        <v>0</v>
      </c>
      <c r="E88" s="7" t="s">
        <v>529</v>
      </c>
      <c r="F88" s="7"/>
      <c r="G88" s="3">
        <f t="shared" si="6"/>
        <v>0</v>
      </c>
      <c r="H88" s="3">
        <v>0</v>
      </c>
      <c r="I88" s="3">
        <f t="shared" si="7"/>
        <v>0</v>
      </c>
      <c r="J88" s="3">
        <f t="shared" si="8"/>
        <v>0</v>
      </c>
      <c r="K88" s="7">
        <f t="shared" si="9"/>
        <v>0</v>
      </c>
      <c r="L88" s="7">
        <f t="shared" si="10"/>
        <v>0</v>
      </c>
      <c r="M88" s="7">
        <v>0</v>
      </c>
      <c r="N88" s="95">
        <v>1</v>
      </c>
      <c r="O88" s="1">
        <v>1.04</v>
      </c>
      <c r="P88" s="1">
        <v>1.05</v>
      </c>
      <c r="Q88" s="1">
        <v>1.05</v>
      </c>
      <c r="R88" s="1">
        <v>1.05</v>
      </c>
      <c r="S88" s="1">
        <v>1.05</v>
      </c>
      <c r="T88" s="1">
        <v>1.08</v>
      </c>
      <c r="U88" s="1">
        <v>0</v>
      </c>
      <c r="V88" s="1">
        <v>0</v>
      </c>
      <c r="W88" s="1">
        <f t="shared" si="11"/>
        <v>0</v>
      </c>
      <c r="X88" s="1">
        <v>0</v>
      </c>
      <c r="Y88" s="1">
        <v>0</v>
      </c>
      <c r="Z88" s="1">
        <v>0</v>
      </c>
    </row>
    <row r="89" spans="1:26" x14ac:dyDescent="0.3">
      <c r="A89" s="7" t="s">
        <v>617</v>
      </c>
      <c r="B89" s="7" t="s">
        <v>662</v>
      </c>
      <c r="C89" s="7">
        <v>0</v>
      </c>
      <c r="D89" s="7">
        <v>5391</v>
      </c>
      <c r="E89" s="7" t="s">
        <v>152</v>
      </c>
      <c r="F89" s="7"/>
      <c r="G89" s="3">
        <f t="shared" si="6"/>
        <v>4991</v>
      </c>
      <c r="H89" s="3">
        <v>4753</v>
      </c>
      <c r="I89" s="3">
        <f t="shared" si="7"/>
        <v>4526</v>
      </c>
      <c r="J89" s="3">
        <f t="shared" si="8"/>
        <v>4310</v>
      </c>
      <c r="K89" s="7">
        <f t="shared" si="9"/>
        <v>4105</v>
      </c>
      <c r="L89" s="7">
        <f>ROUND((M89*N89),0)</f>
        <v>3947</v>
      </c>
      <c r="M89" s="7">
        <v>3947</v>
      </c>
      <c r="N89" s="95">
        <v>1</v>
      </c>
      <c r="O89" s="1">
        <v>1.04</v>
      </c>
      <c r="P89" s="1">
        <v>1.05</v>
      </c>
      <c r="Q89" s="1">
        <v>1.05</v>
      </c>
      <c r="R89" s="1">
        <v>1.05</v>
      </c>
      <c r="S89" s="1">
        <v>1.05</v>
      </c>
      <c r="T89" s="1">
        <v>1.08</v>
      </c>
      <c r="U89" s="1">
        <v>4105</v>
      </c>
      <c r="V89" s="1">
        <v>4310</v>
      </c>
      <c r="W89" s="1">
        <f t="shared" si="11"/>
        <v>4526</v>
      </c>
      <c r="X89" s="1">
        <v>4105</v>
      </c>
      <c r="Y89" s="1">
        <v>4310</v>
      </c>
      <c r="Z89" s="1">
        <v>4526</v>
      </c>
    </row>
    <row r="90" spans="1:26" x14ac:dyDescent="0.3">
      <c r="A90" s="7" t="s">
        <v>664</v>
      </c>
      <c r="B90" s="7" t="s">
        <v>666</v>
      </c>
      <c r="C90" s="7">
        <v>4.75</v>
      </c>
      <c r="D90" s="7">
        <v>0</v>
      </c>
      <c r="E90" s="7" t="s">
        <v>527</v>
      </c>
      <c r="F90" s="7"/>
      <c r="G90" s="3">
        <f t="shared" si="6"/>
        <v>0</v>
      </c>
      <c r="H90" s="3">
        <v>0</v>
      </c>
      <c r="I90" s="3">
        <f t="shared" si="7"/>
        <v>0</v>
      </c>
      <c r="J90" s="3">
        <f t="shared" si="8"/>
        <v>0</v>
      </c>
      <c r="K90" s="7">
        <f t="shared" si="9"/>
        <v>0</v>
      </c>
      <c r="L90" s="7">
        <f>ROUND((M90*N90),0)</f>
        <v>0</v>
      </c>
      <c r="M90" s="7">
        <v>0</v>
      </c>
      <c r="N90" s="95">
        <v>1</v>
      </c>
      <c r="O90" s="1">
        <v>1.04</v>
      </c>
      <c r="P90" s="1">
        <v>1.05</v>
      </c>
      <c r="Q90" s="1">
        <v>1.05</v>
      </c>
      <c r="R90" s="1">
        <v>1.05</v>
      </c>
      <c r="S90" s="1">
        <v>1.05</v>
      </c>
      <c r="T90" s="1">
        <v>1.08</v>
      </c>
      <c r="U90" s="1">
        <v>0</v>
      </c>
      <c r="V90" s="1">
        <v>0</v>
      </c>
      <c r="W90" s="1">
        <f t="shared" si="11"/>
        <v>0</v>
      </c>
      <c r="X90" s="1">
        <v>0</v>
      </c>
      <c r="Y90" s="1">
        <v>0</v>
      </c>
      <c r="Z90" s="1">
        <v>0</v>
      </c>
    </row>
    <row r="91" spans="1:26" x14ac:dyDescent="0.3">
      <c r="A91" s="7" t="s">
        <v>623</v>
      </c>
      <c r="B91" s="7" t="s">
        <v>624</v>
      </c>
      <c r="C91" s="7">
        <v>0</v>
      </c>
      <c r="D91" s="7">
        <v>3553</v>
      </c>
      <c r="E91" s="7" t="s">
        <v>152</v>
      </c>
      <c r="F91" s="7"/>
      <c r="G91" s="3">
        <f t="shared" si="6"/>
        <v>3289</v>
      </c>
      <c r="H91" s="3">
        <v>3132</v>
      </c>
      <c r="I91" s="3">
        <f t="shared" si="7"/>
        <v>2982</v>
      </c>
      <c r="J91" s="3">
        <f t="shared" si="8"/>
        <v>2840</v>
      </c>
      <c r="K91" s="7">
        <f t="shared" si="9"/>
        <v>2705</v>
      </c>
      <c r="L91" s="7">
        <f>ROUND((M91*N91),0)</f>
        <v>2601</v>
      </c>
      <c r="M91" s="7">
        <v>2601</v>
      </c>
      <c r="N91" s="95">
        <v>1</v>
      </c>
      <c r="O91" s="1">
        <v>1.04</v>
      </c>
      <c r="P91" s="1">
        <v>1.05</v>
      </c>
      <c r="Q91" s="1">
        <v>1.05</v>
      </c>
      <c r="R91" s="1">
        <v>1.05</v>
      </c>
      <c r="S91" s="1">
        <v>1.05</v>
      </c>
      <c r="T91" s="1">
        <v>1.08</v>
      </c>
      <c r="U91" s="1">
        <v>2705</v>
      </c>
      <c r="V91" s="1">
        <v>2840</v>
      </c>
      <c r="W91" s="1">
        <f t="shared" si="11"/>
        <v>2982</v>
      </c>
      <c r="X91" s="1">
        <v>2705</v>
      </c>
      <c r="Y91" s="1">
        <v>2840</v>
      </c>
      <c r="Z91" s="1">
        <v>2982</v>
      </c>
    </row>
    <row r="92" spans="1:26" x14ac:dyDescent="0.3">
      <c r="A92" s="7" t="s">
        <v>625</v>
      </c>
      <c r="B92" s="7" t="s">
        <v>627</v>
      </c>
      <c r="C92" s="7">
        <v>2</v>
      </c>
      <c r="D92" s="7">
        <v>0</v>
      </c>
      <c r="E92" s="7" t="s">
        <v>622</v>
      </c>
      <c r="F92" s="7"/>
      <c r="G92" s="3">
        <f t="shared" si="6"/>
        <v>0</v>
      </c>
      <c r="H92" s="3">
        <v>0</v>
      </c>
      <c r="I92" s="3">
        <f t="shared" si="7"/>
        <v>0</v>
      </c>
      <c r="J92" s="3">
        <f t="shared" si="8"/>
        <v>0</v>
      </c>
      <c r="K92" s="7">
        <f t="shared" si="9"/>
        <v>0</v>
      </c>
      <c r="L92" s="7">
        <f t="shared" si="10"/>
        <v>0</v>
      </c>
      <c r="M92" s="7">
        <v>0</v>
      </c>
      <c r="N92" s="95">
        <v>1</v>
      </c>
      <c r="O92" s="1">
        <v>1.04</v>
      </c>
      <c r="P92" s="1">
        <v>1.05</v>
      </c>
      <c r="Q92" s="1">
        <v>1.05</v>
      </c>
      <c r="R92" s="1">
        <v>1.05</v>
      </c>
      <c r="S92" s="1">
        <v>1.05</v>
      </c>
      <c r="T92" s="1">
        <v>1.08</v>
      </c>
      <c r="U92" s="1">
        <v>0</v>
      </c>
      <c r="V92" s="1">
        <v>0</v>
      </c>
      <c r="W92" s="1">
        <f t="shared" si="11"/>
        <v>0</v>
      </c>
      <c r="X92" s="1">
        <v>0</v>
      </c>
      <c r="Y92" s="1">
        <v>0</v>
      </c>
      <c r="Z92" s="1">
        <v>0</v>
      </c>
    </row>
    <row r="93" spans="1:26" x14ac:dyDescent="0.3">
      <c r="A93" s="7" t="s">
        <v>626</v>
      </c>
      <c r="B93" s="7" t="s">
        <v>628</v>
      </c>
      <c r="C93" s="7">
        <v>5</v>
      </c>
      <c r="D93" s="7">
        <v>0</v>
      </c>
      <c r="E93" s="7" t="s">
        <v>527</v>
      </c>
      <c r="F93" s="7"/>
      <c r="G93" s="3">
        <f t="shared" si="6"/>
        <v>0</v>
      </c>
      <c r="H93" s="3">
        <v>0</v>
      </c>
      <c r="I93" s="3">
        <f t="shared" si="7"/>
        <v>0</v>
      </c>
      <c r="J93" s="3">
        <f t="shared" si="8"/>
        <v>0</v>
      </c>
      <c r="K93" s="7">
        <f t="shared" si="9"/>
        <v>0</v>
      </c>
      <c r="L93" s="7">
        <f t="shared" si="10"/>
        <v>0</v>
      </c>
      <c r="M93" s="7">
        <v>0</v>
      </c>
      <c r="N93" s="95">
        <v>1</v>
      </c>
      <c r="O93" s="1">
        <v>1.04</v>
      </c>
      <c r="P93" s="1">
        <v>1.05</v>
      </c>
      <c r="Q93" s="1">
        <v>1.05</v>
      </c>
      <c r="R93" s="1">
        <v>1.05</v>
      </c>
      <c r="S93" s="1">
        <v>1.05</v>
      </c>
      <c r="T93" s="1">
        <v>1.08</v>
      </c>
      <c r="U93" s="1">
        <v>0</v>
      </c>
      <c r="V93" s="1">
        <v>0</v>
      </c>
      <c r="W93" s="1">
        <f t="shared" si="11"/>
        <v>0</v>
      </c>
      <c r="X93" s="1">
        <v>0</v>
      </c>
      <c r="Y93" s="1">
        <v>0</v>
      </c>
      <c r="Z93" s="1">
        <v>0</v>
      </c>
    </row>
    <row r="94" spans="1:26" x14ac:dyDescent="0.3">
      <c r="A94" s="7" t="s">
        <v>634</v>
      </c>
      <c r="B94" s="7" t="s">
        <v>635</v>
      </c>
      <c r="C94" s="7">
        <v>2</v>
      </c>
      <c r="D94" s="7">
        <v>0</v>
      </c>
      <c r="E94" s="7" t="s">
        <v>528</v>
      </c>
      <c r="F94" s="7"/>
      <c r="G94" s="3">
        <f t="shared" si="6"/>
        <v>0</v>
      </c>
      <c r="H94" s="3">
        <v>0</v>
      </c>
      <c r="I94" s="3">
        <f t="shared" si="7"/>
        <v>0</v>
      </c>
      <c r="J94" s="3">
        <f t="shared" si="8"/>
        <v>0</v>
      </c>
      <c r="K94" s="7">
        <f t="shared" si="9"/>
        <v>0</v>
      </c>
      <c r="L94" s="7">
        <f t="shared" si="10"/>
        <v>0</v>
      </c>
      <c r="M94" s="7">
        <v>0</v>
      </c>
      <c r="N94" s="95">
        <v>1</v>
      </c>
      <c r="O94" s="1">
        <v>1.04</v>
      </c>
      <c r="P94" s="1">
        <v>1.05</v>
      </c>
      <c r="Q94" s="1">
        <v>1.05</v>
      </c>
      <c r="R94" s="1">
        <v>1.05</v>
      </c>
      <c r="S94" s="1">
        <v>1.05</v>
      </c>
      <c r="T94" s="1">
        <v>1.08</v>
      </c>
      <c r="U94" s="1">
        <v>0</v>
      </c>
      <c r="V94" s="1">
        <v>0</v>
      </c>
      <c r="W94" s="1">
        <f t="shared" si="11"/>
        <v>0</v>
      </c>
      <c r="X94" s="1">
        <v>0</v>
      </c>
      <c r="Y94" s="1">
        <v>0</v>
      </c>
      <c r="Z94" s="1">
        <v>0</v>
      </c>
    </row>
    <row r="95" spans="1:26" x14ac:dyDescent="0.3">
      <c r="A95" s="7" t="s">
        <v>636</v>
      </c>
      <c r="B95" s="7" t="s">
        <v>637</v>
      </c>
      <c r="C95" s="7">
        <v>2</v>
      </c>
      <c r="D95" s="7">
        <v>0</v>
      </c>
      <c r="E95" s="7" t="s">
        <v>529</v>
      </c>
      <c r="F95" s="7"/>
      <c r="G95" s="3">
        <f t="shared" si="6"/>
        <v>0</v>
      </c>
      <c r="H95" s="3">
        <v>0</v>
      </c>
      <c r="I95" s="3">
        <f t="shared" si="7"/>
        <v>0</v>
      </c>
      <c r="J95" s="3">
        <f t="shared" si="8"/>
        <v>0</v>
      </c>
      <c r="K95" s="7">
        <f t="shared" si="9"/>
        <v>0</v>
      </c>
      <c r="L95" s="7">
        <f t="shared" si="10"/>
        <v>0</v>
      </c>
      <c r="M95" s="7">
        <v>0</v>
      </c>
      <c r="N95" s="95">
        <v>1</v>
      </c>
      <c r="O95" s="1">
        <v>1.04</v>
      </c>
      <c r="P95" s="1">
        <v>1.05</v>
      </c>
      <c r="Q95" s="1">
        <v>1.05</v>
      </c>
      <c r="R95" s="1">
        <v>1.05</v>
      </c>
      <c r="S95" s="1">
        <v>1.05</v>
      </c>
      <c r="T95" s="1">
        <v>1.08</v>
      </c>
      <c r="U95" s="1">
        <v>0</v>
      </c>
      <c r="V95" s="1">
        <v>0</v>
      </c>
      <c r="W95" s="1">
        <f t="shared" si="11"/>
        <v>0</v>
      </c>
      <c r="X95" s="1">
        <v>0</v>
      </c>
      <c r="Y95" s="1">
        <v>0</v>
      </c>
      <c r="Z95" s="1">
        <v>0</v>
      </c>
    </row>
    <row r="96" spans="1:26" x14ac:dyDescent="0.3">
      <c r="A96" s="7" t="s">
        <v>629</v>
      </c>
      <c r="B96" s="7" t="s">
        <v>663</v>
      </c>
      <c r="C96" s="7">
        <v>0</v>
      </c>
      <c r="D96" s="7">
        <v>6513</v>
      </c>
      <c r="E96" s="7" t="s">
        <v>152</v>
      </c>
      <c r="F96" s="7"/>
      <c r="G96" s="3">
        <f t="shared" si="6"/>
        <v>6030</v>
      </c>
      <c r="H96" s="3">
        <v>5742</v>
      </c>
      <c r="I96" s="3">
        <f t="shared" si="7"/>
        <v>5468</v>
      </c>
      <c r="J96" s="3">
        <f t="shared" si="8"/>
        <v>5208</v>
      </c>
      <c r="K96" s="7">
        <f t="shared" si="9"/>
        <v>4960</v>
      </c>
      <c r="L96" s="7">
        <f t="shared" si="10"/>
        <v>4769</v>
      </c>
      <c r="M96" s="7">
        <v>4769</v>
      </c>
      <c r="N96" s="95">
        <v>1</v>
      </c>
      <c r="O96" s="1">
        <v>1.04</v>
      </c>
      <c r="P96" s="1">
        <v>1.05</v>
      </c>
      <c r="Q96" s="1">
        <v>1.05</v>
      </c>
      <c r="R96" s="1">
        <v>1.05</v>
      </c>
      <c r="S96" s="1">
        <v>1.05</v>
      </c>
      <c r="T96" s="1">
        <v>1.08</v>
      </c>
      <c r="U96" s="1">
        <v>4960</v>
      </c>
      <c r="V96" s="1">
        <v>5208</v>
      </c>
      <c r="W96" s="1">
        <f t="shared" si="11"/>
        <v>5468</v>
      </c>
      <c r="X96" s="1">
        <v>4960</v>
      </c>
      <c r="Y96" s="1">
        <v>5208</v>
      </c>
      <c r="Z96" s="1">
        <v>5468</v>
      </c>
    </row>
    <row r="97" spans="1:26" x14ac:dyDescent="0.3">
      <c r="A97" s="1" t="s">
        <v>665</v>
      </c>
      <c r="B97" s="1" t="s">
        <v>667</v>
      </c>
      <c r="C97" s="7">
        <v>5.25</v>
      </c>
      <c r="D97" s="7">
        <v>0</v>
      </c>
      <c r="E97" s="1" t="s">
        <v>527</v>
      </c>
      <c r="G97" s="3">
        <f t="shared" si="6"/>
        <v>0</v>
      </c>
      <c r="H97" s="3">
        <v>0</v>
      </c>
      <c r="I97" s="3">
        <f t="shared" si="7"/>
        <v>0</v>
      </c>
      <c r="J97" s="3">
        <f t="shared" si="8"/>
        <v>0</v>
      </c>
      <c r="K97" s="7">
        <f t="shared" si="9"/>
        <v>0</v>
      </c>
      <c r="L97" s="1">
        <f t="shared" si="10"/>
        <v>0</v>
      </c>
      <c r="M97" s="1">
        <v>0</v>
      </c>
      <c r="N97" s="56">
        <v>1</v>
      </c>
      <c r="O97" s="1">
        <v>1.04</v>
      </c>
      <c r="P97" s="1">
        <v>1.05</v>
      </c>
      <c r="Q97" s="1">
        <v>1.05</v>
      </c>
      <c r="R97" s="1">
        <v>1.05</v>
      </c>
      <c r="S97" s="1">
        <v>1.05</v>
      </c>
      <c r="T97" s="1">
        <v>1.08</v>
      </c>
      <c r="U97" s="1">
        <v>0</v>
      </c>
      <c r="V97" s="1">
        <v>0</v>
      </c>
      <c r="W97" s="1">
        <f t="shared" si="11"/>
        <v>0</v>
      </c>
      <c r="X97" s="1">
        <v>0</v>
      </c>
      <c r="Y97" s="1">
        <v>0</v>
      </c>
      <c r="Z97" s="1">
        <v>0</v>
      </c>
    </row>
  </sheetData>
  <sortState ref="P3:T27">
    <sortCondition ref="P3"/>
  </sortState>
  <pageMargins left="0.25" right="0.25" top="0.25" bottom="0.25" header="0.3" footer="0.3"/>
  <pageSetup scale="81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59"/>
  <sheetViews>
    <sheetView zoomScale="60" zoomScaleNormal="60" workbookViewId="0">
      <selection activeCell="A42" sqref="A42"/>
    </sheetView>
  </sheetViews>
  <sheetFormatPr defaultColWidth="28.5546875" defaultRowHeight="150" customHeight="1" x14ac:dyDescent="0.7"/>
  <cols>
    <col min="1" max="1" width="28.5546875" style="96"/>
    <col min="2" max="2" width="35.6640625" style="23" customWidth="1"/>
    <col min="3" max="3" width="28.5546875" style="22"/>
    <col min="4" max="4" width="28.5546875" style="87"/>
  </cols>
  <sheetData>
    <row r="1" spans="1:4" s="24" customFormat="1" ht="150" customHeight="1" x14ac:dyDescent="0.7">
      <c r="A1" s="94"/>
      <c r="C1" s="25"/>
      <c r="D1" s="89"/>
    </row>
    <row r="2" spans="1:4" s="24" customFormat="1" ht="150" customHeight="1" x14ac:dyDescent="0.7">
      <c r="A2" s="94"/>
      <c r="C2" s="25"/>
      <c r="D2" s="89"/>
    </row>
    <row r="3" spans="1:4" s="24" customFormat="1" ht="150" customHeight="1" x14ac:dyDescent="0.7">
      <c r="A3" s="94">
        <v>6500</v>
      </c>
      <c r="C3" s="25">
        <v>1</v>
      </c>
      <c r="D3" s="89"/>
    </row>
    <row r="4" spans="1:4" s="24" customFormat="1" ht="150" customHeight="1" x14ac:dyDescent="0.7">
      <c r="A4" s="94">
        <v>6502</v>
      </c>
      <c r="C4" s="25">
        <v>2</v>
      </c>
      <c r="D4" s="89"/>
    </row>
    <row r="5" spans="1:4" s="24" customFormat="1" ht="150" customHeight="1" x14ac:dyDescent="0.7">
      <c r="A5" s="94">
        <v>6503</v>
      </c>
      <c r="C5" s="25">
        <v>3</v>
      </c>
      <c r="D5" s="89"/>
    </row>
    <row r="6" spans="1:4" s="24" customFormat="1" ht="150" customHeight="1" x14ac:dyDescent="0.7">
      <c r="A6" s="94">
        <v>6504</v>
      </c>
      <c r="C6" s="25">
        <v>4</v>
      </c>
      <c r="D6" s="89"/>
    </row>
    <row r="7" spans="1:4" s="24" customFormat="1" ht="150" customHeight="1" x14ac:dyDescent="0.7">
      <c r="A7" s="94">
        <v>6505</v>
      </c>
      <c r="C7" s="25">
        <v>5</v>
      </c>
      <c r="D7" s="89"/>
    </row>
    <row r="8" spans="1:4" s="24" customFormat="1" ht="150" customHeight="1" x14ac:dyDescent="0.7">
      <c r="A8" s="94">
        <v>6510</v>
      </c>
      <c r="C8" s="25">
        <v>6</v>
      </c>
      <c r="D8" s="89"/>
    </row>
    <row r="9" spans="1:4" s="24" customFormat="1" ht="150" customHeight="1" x14ac:dyDescent="0.7">
      <c r="A9" s="94">
        <v>6511</v>
      </c>
      <c r="C9" s="25">
        <v>7</v>
      </c>
      <c r="D9" s="89"/>
    </row>
    <row r="10" spans="1:4" s="24" customFormat="1" ht="150" customHeight="1" x14ac:dyDescent="0.7">
      <c r="A10" s="94">
        <v>6512</v>
      </c>
      <c r="C10" s="25">
        <v>8</v>
      </c>
      <c r="D10" s="89"/>
    </row>
    <row r="11" spans="1:4" s="24" customFormat="1" ht="150" customHeight="1" x14ac:dyDescent="0.7">
      <c r="A11" s="94">
        <v>6513</v>
      </c>
      <c r="C11" s="25">
        <v>9</v>
      </c>
      <c r="D11" s="89"/>
    </row>
    <row r="12" spans="1:4" s="24" customFormat="1" ht="150" customHeight="1" x14ac:dyDescent="0.7">
      <c r="A12" s="94">
        <v>6520</v>
      </c>
      <c r="C12" s="25">
        <v>10</v>
      </c>
      <c r="D12" s="89"/>
    </row>
    <row r="13" spans="1:4" s="24" customFormat="1" ht="150" customHeight="1" x14ac:dyDescent="0.7">
      <c r="A13" s="94">
        <v>6521</v>
      </c>
      <c r="C13" s="25">
        <v>11</v>
      </c>
      <c r="D13" s="89"/>
    </row>
    <row r="14" spans="1:4" s="24" customFormat="1" ht="150" customHeight="1" x14ac:dyDescent="0.7">
      <c r="A14" s="94">
        <v>6522</v>
      </c>
      <c r="C14" s="25">
        <v>12</v>
      </c>
      <c r="D14" s="89"/>
    </row>
    <row r="15" spans="1:4" s="24" customFormat="1" ht="150" customHeight="1" x14ac:dyDescent="0.7">
      <c r="A15" s="94">
        <v>6523</v>
      </c>
      <c r="C15" s="25">
        <v>13</v>
      </c>
      <c r="D15" s="89"/>
    </row>
    <row r="16" spans="1:4" s="24" customFormat="1" ht="150" customHeight="1" x14ac:dyDescent="0.7">
      <c r="A16" s="94">
        <v>6532</v>
      </c>
      <c r="C16" s="25">
        <v>14</v>
      </c>
      <c r="D16" s="89"/>
    </row>
    <row r="17" spans="1:4" s="24" customFormat="1" ht="150" customHeight="1" x14ac:dyDescent="0.7">
      <c r="A17" s="94">
        <v>6533</v>
      </c>
      <c r="C17" s="25">
        <v>15</v>
      </c>
      <c r="D17" s="89"/>
    </row>
    <row r="18" spans="1:4" s="24" customFormat="1" ht="150" customHeight="1" x14ac:dyDescent="0.7">
      <c r="A18" s="94">
        <v>6534</v>
      </c>
      <c r="C18" s="25">
        <v>16</v>
      </c>
      <c r="D18" s="89"/>
    </row>
    <row r="19" spans="1:4" s="24" customFormat="1" ht="150" customHeight="1" x14ac:dyDescent="0.7">
      <c r="A19" s="94">
        <v>6535</v>
      </c>
      <c r="C19" s="25">
        <v>17</v>
      </c>
      <c r="D19" s="89"/>
    </row>
    <row r="20" spans="1:4" s="24" customFormat="1" ht="150" customHeight="1" x14ac:dyDescent="0.7">
      <c r="A20" s="94">
        <v>6552</v>
      </c>
      <c r="C20" s="25">
        <v>18</v>
      </c>
      <c r="D20" s="89"/>
    </row>
    <row r="21" spans="1:4" s="24" customFormat="1" ht="150" customHeight="1" x14ac:dyDescent="0.7">
      <c r="A21" s="94">
        <v>6553</v>
      </c>
      <c r="C21" s="25">
        <v>19</v>
      </c>
      <c r="D21" s="89"/>
    </row>
    <row r="22" spans="1:4" s="24" customFormat="1" ht="150" customHeight="1" x14ac:dyDescent="0.7">
      <c r="A22" s="94">
        <v>6554</v>
      </c>
      <c r="C22" s="25">
        <v>20</v>
      </c>
      <c r="D22" s="89"/>
    </row>
    <row r="23" spans="1:4" s="24" customFormat="1" ht="150" customHeight="1" x14ac:dyDescent="0.7">
      <c r="A23" s="94">
        <v>6555</v>
      </c>
      <c r="C23" s="25">
        <v>21</v>
      </c>
      <c r="D23" s="89"/>
    </row>
    <row r="24" spans="1:4" s="24" customFormat="1" ht="150" customHeight="1" x14ac:dyDescent="0.7">
      <c r="A24" s="94">
        <v>6562</v>
      </c>
      <c r="C24" s="25">
        <v>22</v>
      </c>
      <c r="D24" s="89"/>
    </row>
    <row r="25" spans="1:4" s="24" customFormat="1" ht="150" customHeight="1" x14ac:dyDescent="0.7">
      <c r="A25" s="94">
        <v>6563</v>
      </c>
      <c r="C25" s="25">
        <v>23</v>
      </c>
      <c r="D25" s="89"/>
    </row>
    <row r="26" spans="1:4" s="24" customFormat="1" ht="150" customHeight="1" x14ac:dyDescent="0.7">
      <c r="A26" s="94">
        <v>6564</v>
      </c>
      <c r="C26" s="25">
        <v>24</v>
      </c>
      <c r="D26" s="89"/>
    </row>
    <row r="27" spans="1:4" s="24" customFormat="1" ht="150" customHeight="1" x14ac:dyDescent="0.7">
      <c r="A27" s="94">
        <v>6565</v>
      </c>
      <c r="C27" s="25">
        <v>25</v>
      </c>
      <c r="D27" s="89"/>
    </row>
    <row r="28" spans="1:4" s="24" customFormat="1" ht="150" customHeight="1" x14ac:dyDescent="0.7">
      <c r="A28" s="94" t="s">
        <v>672</v>
      </c>
      <c r="C28" s="25">
        <v>26</v>
      </c>
      <c r="D28" s="89"/>
    </row>
    <row r="29" spans="1:4" s="24" customFormat="1" ht="150" customHeight="1" x14ac:dyDescent="0.7">
      <c r="A29" s="94" t="s">
        <v>673</v>
      </c>
      <c r="C29" s="25">
        <v>29</v>
      </c>
      <c r="D29" s="89"/>
    </row>
    <row r="30" spans="1:4" s="24" customFormat="1" ht="149.25" customHeight="1" x14ac:dyDescent="0.7">
      <c r="A30" s="94" t="s">
        <v>448</v>
      </c>
      <c r="C30" s="25">
        <v>32</v>
      </c>
      <c r="D30" s="89"/>
    </row>
    <row r="31" spans="1:4" s="24" customFormat="1" ht="150" customHeight="1" x14ac:dyDescent="0.7">
      <c r="A31" s="94" t="s">
        <v>449</v>
      </c>
      <c r="C31" s="25">
        <v>33</v>
      </c>
      <c r="D31" s="89"/>
    </row>
    <row r="32" spans="1:4" s="24" customFormat="1" ht="150" customHeight="1" x14ac:dyDescent="0.7">
      <c r="A32" s="94" t="s">
        <v>674</v>
      </c>
      <c r="C32" s="25">
        <v>34</v>
      </c>
      <c r="D32" s="89"/>
    </row>
    <row r="33" spans="1:4" s="24" customFormat="1" ht="150" customHeight="1" x14ac:dyDescent="0.7">
      <c r="A33" s="94" t="s">
        <v>675</v>
      </c>
      <c r="C33" s="25">
        <v>37</v>
      </c>
      <c r="D33" s="89"/>
    </row>
    <row r="34" spans="1:4" s="24" customFormat="1" ht="150" customHeight="1" x14ac:dyDescent="0.7">
      <c r="A34" s="94" t="s">
        <v>450</v>
      </c>
      <c r="C34" s="25">
        <v>40</v>
      </c>
      <c r="D34" s="89"/>
    </row>
    <row r="35" spans="1:4" s="24" customFormat="1" ht="150" customHeight="1" x14ac:dyDescent="0.7">
      <c r="A35" s="94" t="s">
        <v>676</v>
      </c>
      <c r="C35" s="25">
        <v>41</v>
      </c>
      <c r="D35" s="89"/>
    </row>
    <row r="36" spans="1:4" s="24" customFormat="1" ht="150" customHeight="1" x14ac:dyDescent="0.7">
      <c r="A36" s="94" t="s">
        <v>677</v>
      </c>
      <c r="C36" s="25">
        <v>44</v>
      </c>
      <c r="D36" s="89"/>
    </row>
    <row r="37" spans="1:4" s="24" customFormat="1" ht="150" customHeight="1" x14ac:dyDescent="0.7">
      <c r="A37" s="94" t="s">
        <v>451</v>
      </c>
      <c r="C37" s="25">
        <v>47</v>
      </c>
      <c r="D37" s="89"/>
    </row>
    <row r="38" spans="1:4" s="24" customFormat="1" ht="150" customHeight="1" x14ac:dyDescent="0.7">
      <c r="A38" s="94" t="s">
        <v>678</v>
      </c>
      <c r="C38" s="25">
        <v>48</v>
      </c>
      <c r="D38" s="89"/>
    </row>
    <row r="39" spans="1:4" s="24" customFormat="1" ht="150" customHeight="1" x14ac:dyDescent="0.7">
      <c r="A39" s="94" t="s">
        <v>679</v>
      </c>
      <c r="C39" s="25">
        <v>51</v>
      </c>
      <c r="D39" s="89"/>
    </row>
    <row r="40" spans="1:4" s="24" customFormat="1" ht="150" customHeight="1" x14ac:dyDescent="0.7">
      <c r="A40" s="94" t="s">
        <v>452</v>
      </c>
      <c r="C40" s="25">
        <v>54</v>
      </c>
      <c r="D40" s="89"/>
    </row>
    <row r="41" spans="1:4" s="24" customFormat="1" ht="150" customHeight="1" x14ac:dyDescent="0.7">
      <c r="A41" s="94" t="s">
        <v>453</v>
      </c>
      <c r="C41" s="25">
        <v>55</v>
      </c>
      <c r="D41" s="89"/>
    </row>
    <row r="42" spans="1:4" s="24" customFormat="1" ht="150" customHeight="1" x14ac:dyDescent="0.7">
      <c r="A42" s="94" t="s">
        <v>680</v>
      </c>
      <c r="C42" s="25">
        <v>56</v>
      </c>
      <c r="D42" s="89"/>
    </row>
    <row r="43" spans="1:4" s="24" customFormat="1" ht="150" customHeight="1" x14ac:dyDescent="0.7">
      <c r="A43" s="94" t="s">
        <v>681</v>
      </c>
      <c r="C43" s="25">
        <v>59</v>
      </c>
      <c r="D43" s="89"/>
    </row>
    <row r="44" spans="1:4" s="24" customFormat="1" ht="150" customHeight="1" x14ac:dyDescent="0.7">
      <c r="A44" s="94" t="s">
        <v>454</v>
      </c>
      <c r="C44" s="25">
        <v>62</v>
      </c>
      <c r="D44" s="89"/>
    </row>
    <row r="45" spans="1:4" s="24" customFormat="1" ht="150" customHeight="1" x14ac:dyDescent="0.7">
      <c r="A45" s="94" t="s">
        <v>682</v>
      </c>
      <c r="C45" s="25">
        <v>63</v>
      </c>
      <c r="D45" s="89"/>
    </row>
    <row r="46" spans="1:4" s="24" customFormat="1" ht="150" customHeight="1" x14ac:dyDescent="0.7">
      <c r="A46" s="94" t="s">
        <v>683</v>
      </c>
      <c r="C46" s="25">
        <v>66</v>
      </c>
      <c r="D46" s="89"/>
    </row>
    <row r="47" spans="1:4" s="24" customFormat="1" ht="150" customHeight="1" x14ac:dyDescent="0.7">
      <c r="A47" s="94" t="s">
        <v>455</v>
      </c>
      <c r="C47" s="25">
        <v>69</v>
      </c>
      <c r="D47" s="89"/>
    </row>
    <row r="48" spans="1:4" s="24" customFormat="1" ht="150" customHeight="1" x14ac:dyDescent="0.7">
      <c r="A48" s="94" t="s">
        <v>684</v>
      </c>
      <c r="C48" s="25">
        <v>70</v>
      </c>
      <c r="D48" s="89"/>
    </row>
    <row r="49" spans="1:4" s="24" customFormat="1" ht="150" customHeight="1" x14ac:dyDescent="0.7">
      <c r="A49" s="94" t="s">
        <v>685</v>
      </c>
      <c r="C49" s="25">
        <v>73</v>
      </c>
      <c r="D49" s="89"/>
    </row>
    <row r="50" spans="1:4" s="24" customFormat="1" ht="150" customHeight="1" x14ac:dyDescent="0.7">
      <c r="A50" s="94" t="s">
        <v>686</v>
      </c>
      <c r="C50" s="25">
        <v>76</v>
      </c>
      <c r="D50" s="89"/>
    </row>
    <row r="51" spans="1:4" s="24" customFormat="1" ht="150" customHeight="1" x14ac:dyDescent="0.7">
      <c r="A51" s="94" t="s">
        <v>687</v>
      </c>
      <c r="C51" s="25">
        <v>79</v>
      </c>
      <c r="D51" s="89"/>
    </row>
    <row r="52" spans="1:4" s="24" customFormat="1" ht="150" customHeight="1" x14ac:dyDescent="0.7">
      <c r="A52" s="94" t="s">
        <v>688</v>
      </c>
      <c r="C52" s="25">
        <v>82</v>
      </c>
      <c r="D52" s="89"/>
    </row>
    <row r="53" spans="1:4" s="24" customFormat="1" ht="150" customHeight="1" x14ac:dyDescent="0.7">
      <c r="A53" s="94" t="s">
        <v>689</v>
      </c>
      <c r="C53" s="25">
        <v>85</v>
      </c>
      <c r="D53" s="89"/>
    </row>
    <row r="54" spans="1:4" s="24" customFormat="1" ht="150" customHeight="1" x14ac:dyDescent="0.7">
      <c r="A54" s="94" t="s">
        <v>0</v>
      </c>
      <c r="C54" s="25">
        <v>88</v>
      </c>
      <c r="D54" s="89"/>
    </row>
    <row r="55" spans="1:4" s="24" customFormat="1" ht="150" customHeight="1" x14ac:dyDescent="0.7">
      <c r="A55" s="94" t="s">
        <v>690</v>
      </c>
      <c r="C55" s="25">
        <v>89</v>
      </c>
      <c r="D55" s="89"/>
    </row>
    <row r="56" spans="1:4" s="24" customFormat="1" ht="150" customHeight="1" x14ac:dyDescent="0.7">
      <c r="A56" s="94" t="s">
        <v>1</v>
      </c>
      <c r="C56" s="25">
        <v>92</v>
      </c>
      <c r="D56" s="89"/>
    </row>
    <row r="57" spans="1:4" s="24" customFormat="1" ht="150" customHeight="1" x14ac:dyDescent="0.7">
      <c r="A57" s="94" t="s">
        <v>691</v>
      </c>
      <c r="C57" s="25">
        <v>93</v>
      </c>
      <c r="D57" s="89"/>
    </row>
    <row r="58" spans="1:4" s="24" customFormat="1" ht="150" customHeight="1" x14ac:dyDescent="0.7">
      <c r="A58" s="94" t="s">
        <v>92</v>
      </c>
      <c r="C58" s="25">
        <v>96</v>
      </c>
      <c r="D58" s="89"/>
    </row>
    <row r="59" spans="1:4" s="24" customFormat="1" ht="150" customHeight="1" x14ac:dyDescent="0.7">
      <c r="A59" s="94" t="s">
        <v>692</v>
      </c>
      <c r="C59" s="25">
        <v>97</v>
      </c>
      <c r="D59" s="89"/>
    </row>
    <row r="60" spans="1:4" s="24" customFormat="1" ht="150" customHeight="1" x14ac:dyDescent="0.7">
      <c r="A60" s="94" t="s">
        <v>93</v>
      </c>
      <c r="C60" s="25">
        <v>100</v>
      </c>
      <c r="D60" s="89"/>
    </row>
    <row r="61" spans="1:4" s="24" customFormat="1" ht="150" customHeight="1" x14ac:dyDescent="0.7">
      <c r="A61" s="94" t="s">
        <v>693</v>
      </c>
      <c r="C61" s="25">
        <v>101</v>
      </c>
      <c r="D61" s="89"/>
    </row>
    <row r="62" spans="1:4" s="24" customFormat="1" ht="150" customHeight="1" x14ac:dyDescent="0.7">
      <c r="A62" s="94" t="s">
        <v>98</v>
      </c>
      <c r="C62" s="25">
        <v>104</v>
      </c>
      <c r="D62" s="89"/>
    </row>
    <row r="63" spans="1:4" s="24" customFormat="1" ht="150" customHeight="1" x14ac:dyDescent="0.7">
      <c r="A63" s="94" t="s">
        <v>694</v>
      </c>
      <c r="C63" s="25">
        <v>105</v>
      </c>
      <c r="D63" s="89"/>
    </row>
    <row r="64" spans="1:4" s="24" customFormat="1" ht="150" customHeight="1" x14ac:dyDescent="0.7">
      <c r="A64" s="94" t="s">
        <v>99</v>
      </c>
      <c r="C64" s="25">
        <v>108</v>
      </c>
      <c r="D64" s="89"/>
    </row>
    <row r="65" spans="1:4" s="24" customFormat="1" ht="150" customHeight="1" x14ac:dyDescent="0.7">
      <c r="A65" s="94" t="s">
        <v>695</v>
      </c>
      <c r="C65" s="25">
        <v>109</v>
      </c>
      <c r="D65" s="89"/>
    </row>
    <row r="66" spans="1:4" s="24" customFormat="1" ht="150" customHeight="1" x14ac:dyDescent="0.7">
      <c r="A66" s="94" t="s">
        <v>2</v>
      </c>
      <c r="C66" s="25">
        <v>112</v>
      </c>
      <c r="D66" s="89"/>
    </row>
    <row r="67" spans="1:4" s="24" customFormat="1" ht="150" customHeight="1" x14ac:dyDescent="0.7">
      <c r="A67" s="94" t="s">
        <v>696</v>
      </c>
      <c r="C67" s="25">
        <v>113</v>
      </c>
      <c r="D67" s="89"/>
    </row>
    <row r="68" spans="1:4" s="24" customFormat="1" ht="150" customHeight="1" x14ac:dyDescent="0.7">
      <c r="A68" s="94" t="s">
        <v>3</v>
      </c>
      <c r="C68" s="25">
        <v>116</v>
      </c>
      <c r="D68" s="89"/>
    </row>
    <row r="69" spans="1:4" s="24" customFormat="1" ht="150" customHeight="1" x14ac:dyDescent="0.7">
      <c r="A69" s="94" t="s">
        <v>697</v>
      </c>
      <c r="C69" s="25">
        <v>117</v>
      </c>
      <c r="D69" s="89"/>
    </row>
    <row r="70" spans="1:4" s="24" customFormat="1" ht="150" customHeight="1" x14ac:dyDescent="0.7">
      <c r="A70" s="94" t="s">
        <v>4</v>
      </c>
      <c r="C70" s="25">
        <v>120</v>
      </c>
      <c r="D70" s="89"/>
    </row>
    <row r="71" spans="1:4" s="24" customFormat="1" ht="150" customHeight="1" x14ac:dyDescent="0.7">
      <c r="A71" s="94" t="s">
        <v>698</v>
      </c>
      <c r="C71" s="25">
        <v>121</v>
      </c>
      <c r="D71" s="89"/>
    </row>
    <row r="72" spans="1:4" s="24" customFormat="1" ht="150" customHeight="1" x14ac:dyDescent="0.7">
      <c r="A72" s="94" t="s">
        <v>5</v>
      </c>
      <c r="C72" s="25">
        <v>124</v>
      </c>
      <c r="D72" s="89"/>
    </row>
    <row r="73" spans="1:4" s="24" customFormat="1" ht="150" customHeight="1" x14ac:dyDescent="0.7">
      <c r="A73" s="94" t="s">
        <v>699</v>
      </c>
      <c r="C73" s="25">
        <v>125</v>
      </c>
      <c r="D73" s="89"/>
    </row>
    <row r="74" spans="1:4" s="24" customFormat="1" ht="150" customHeight="1" x14ac:dyDescent="0.7">
      <c r="A74" s="94" t="s">
        <v>255</v>
      </c>
      <c r="C74" s="25">
        <v>128</v>
      </c>
      <c r="D74" s="89"/>
    </row>
    <row r="75" spans="1:4" s="24" customFormat="1" ht="150" customHeight="1" x14ac:dyDescent="0.7">
      <c r="A75" s="94" t="s">
        <v>700</v>
      </c>
      <c r="C75" s="25">
        <v>129</v>
      </c>
      <c r="D75" s="89"/>
    </row>
    <row r="76" spans="1:4" s="24" customFormat="1" ht="150" customHeight="1" x14ac:dyDescent="0.7">
      <c r="A76" s="94" t="s">
        <v>256</v>
      </c>
      <c r="C76" s="25">
        <v>132</v>
      </c>
      <c r="D76" s="89"/>
    </row>
    <row r="77" spans="1:4" s="24" customFormat="1" ht="150" customHeight="1" x14ac:dyDescent="0.7">
      <c r="A77" s="94" t="s">
        <v>701</v>
      </c>
      <c r="C77" s="25">
        <v>133</v>
      </c>
      <c r="D77" s="89"/>
    </row>
    <row r="78" spans="1:4" s="24" customFormat="1" ht="150" customHeight="1" x14ac:dyDescent="0.7">
      <c r="A78" s="94" t="s">
        <v>6</v>
      </c>
      <c r="C78" s="25">
        <v>136</v>
      </c>
      <c r="D78" s="89"/>
    </row>
    <row r="79" spans="1:4" s="24" customFormat="1" ht="150" customHeight="1" x14ac:dyDescent="0.7">
      <c r="A79" s="94" t="s">
        <v>702</v>
      </c>
      <c r="C79" s="25">
        <v>137</v>
      </c>
      <c r="D79" s="89"/>
    </row>
    <row r="80" spans="1:4" s="24" customFormat="1" ht="150" customHeight="1" x14ac:dyDescent="0.7">
      <c r="A80" s="94" t="s">
        <v>7</v>
      </c>
      <c r="C80" s="25">
        <v>140</v>
      </c>
      <c r="D80" s="89"/>
    </row>
    <row r="81" spans="1:4" s="24" customFormat="1" ht="150" customHeight="1" x14ac:dyDescent="0.7">
      <c r="A81" s="94" t="s">
        <v>703</v>
      </c>
      <c r="C81" s="25">
        <v>141</v>
      </c>
      <c r="D81" s="89"/>
    </row>
    <row r="82" spans="1:4" s="24" customFormat="1" ht="150" customHeight="1" x14ac:dyDescent="0.7">
      <c r="A82" s="94" t="s">
        <v>257</v>
      </c>
      <c r="C82" s="25">
        <v>144</v>
      </c>
      <c r="D82" s="89"/>
    </row>
    <row r="83" spans="1:4" s="24" customFormat="1" ht="150" customHeight="1" x14ac:dyDescent="0.7">
      <c r="A83" s="94" t="s">
        <v>704</v>
      </c>
      <c r="C83" s="25">
        <v>145</v>
      </c>
      <c r="D83" s="89"/>
    </row>
    <row r="84" spans="1:4" s="24" customFormat="1" ht="150" customHeight="1" x14ac:dyDescent="0.7">
      <c r="A84" s="94" t="s">
        <v>258</v>
      </c>
      <c r="C84" s="25">
        <v>148</v>
      </c>
      <c r="D84" s="89"/>
    </row>
    <row r="85" spans="1:4" s="24" customFormat="1" ht="150" customHeight="1" x14ac:dyDescent="0.7">
      <c r="A85" s="94" t="s">
        <v>705</v>
      </c>
      <c r="C85" s="25">
        <v>149</v>
      </c>
      <c r="D85" s="89"/>
    </row>
    <row r="86" spans="1:4" s="24" customFormat="1" ht="150" customHeight="1" x14ac:dyDescent="0.7">
      <c r="A86" s="94" t="s">
        <v>706</v>
      </c>
      <c r="C86" s="25">
        <v>152</v>
      </c>
      <c r="D86" s="89"/>
    </row>
    <row r="87" spans="1:4" s="24" customFormat="1" ht="150" customHeight="1" x14ac:dyDescent="0.7">
      <c r="A87" s="94" t="s">
        <v>707</v>
      </c>
      <c r="C87" s="25">
        <v>155</v>
      </c>
      <c r="D87" s="89"/>
    </row>
    <row r="88" spans="1:4" s="24" customFormat="1" ht="150" customHeight="1" x14ac:dyDescent="0.7">
      <c r="A88" s="94" t="s">
        <v>708</v>
      </c>
      <c r="C88" s="25">
        <v>158</v>
      </c>
      <c r="D88" s="89"/>
    </row>
    <row r="89" spans="1:4" s="24" customFormat="1" ht="150" customHeight="1" x14ac:dyDescent="0.7">
      <c r="A89" s="94" t="s">
        <v>709</v>
      </c>
      <c r="C89" s="25">
        <v>161</v>
      </c>
      <c r="D89" s="89"/>
    </row>
    <row r="90" spans="1:4" s="24" customFormat="1" ht="150" customHeight="1" x14ac:dyDescent="0.7">
      <c r="A90" s="94" t="s">
        <v>405</v>
      </c>
      <c r="C90" s="25">
        <v>164</v>
      </c>
      <c r="D90" s="89"/>
    </row>
    <row r="91" spans="1:4" s="24" customFormat="1" ht="150" customHeight="1" x14ac:dyDescent="0.7">
      <c r="A91" s="94" t="s">
        <v>710</v>
      </c>
      <c r="C91" s="25">
        <v>165</v>
      </c>
      <c r="D91" s="89"/>
    </row>
    <row r="92" spans="1:4" s="24" customFormat="1" ht="150" customHeight="1" x14ac:dyDescent="0.7">
      <c r="A92" s="94" t="s">
        <v>406</v>
      </c>
      <c r="C92" s="25">
        <v>168</v>
      </c>
      <c r="D92" s="89"/>
    </row>
    <row r="93" spans="1:4" s="24" customFormat="1" ht="150" customHeight="1" x14ac:dyDescent="0.7">
      <c r="A93" s="94" t="s">
        <v>711</v>
      </c>
      <c r="C93" s="25">
        <v>169</v>
      </c>
      <c r="D93" s="89"/>
    </row>
    <row r="94" spans="1:4" s="24" customFormat="1" ht="150" customHeight="1" x14ac:dyDescent="0.7">
      <c r="A94" s="94" t="s">
        <v>407</v>
      </c>
      <c r="C94" s="25">
        <v>172</v>
      </c>
      <c r="D94" s="89"/>
    </row>
    <row r="95" spans="1:4" s="24" customFormat="1" ht="150" customHeight="1" x14ac:dyDescent="0.7">
      <c r="A95" s="94" t="s">
        <v>712</v>
      </c>
      <c r="C95" s="25">
        <v>173</v>
      </c>
      <c r="D95" s="89"/>
    </row>
    <row r="96" spans="1:4" s="24" customFormat="1" ht="150" customHeight="1" x14ac:dyDescent="0.7">
      <c r="A96" s="94" t="s">
        <v>408</v>
      </c>
      <c r="C96" s="25">
        <v>176</v>
      </c>
      <c r="D96" s="89"/>
    </row>
    <row r="97" spans="1:4" s="24" customFormat="1" ht="150" customHeight="1" x14ac:dyDescent="0.7">
      <c r="A97" s="94" t="s">
        <v>713</v>
      </c>
      <c r="C97" s="25">
        <v>177</v>
      </c>
      <c r="D97" s="89"/>
    </row>
    <row r="98" spans="1:4" s="24" customFormat="1" ht="150" customHeight="1" x14ac:dyDescent="0.7">
      <c r="A98" s="94" t="s">
        <v>409</v>
      </c>
      <c r="C98" s="25">
        <v>180</v>
      </c>
      <c r="D98" s="89"/>
    </row>
    <row r="99" spans="1:4" s="24" customFormat="1" ht="150" customHeight="1" x14ac:dyDescent="0.7">
      <c r="A99" s="94" t="s">
        <v>714</v>
      </c>
      <c r="C99" s="25">
        <v>181</v>
      </c>
      <c r="D99" s="89"/>
    </row>
    <row r="100" spans="1:4" s="24" customFormat="1" ht="150" customHeight="1" x14ac:dyDescent="0.7">
      <c r="A100" s="94" t="s">
        <v>410</v>
      </c>
      <c r="C100" s="25">
        <v>184</v>
      </c>
      <c r="D100" s="89"/>
    </row>
    <row r="101" spans="1:4" s="24" customFormat="1" ht="150" customHeight="1" x14ac:dyDescent="0.7">
      <c r="A101" s="94" t="s">
        <v>715</v>
      </c>
      <c r="C101" s="25">
        <v>185</v>
      </c>
      <c r="D101" s="89"/>
    </row>
    <row r="102" spans="1:4" s="24" customFormat="1" ht="150" customHeight="1" x14ac:dyDescent="0.7">
      <c r="A102" s="94" t="s">
        <v>411</v>
      </c>
      <c r="C102" s="25">
        <v>188</v>
      </c>
      <c r="D102" s="89"/>
    </row>
    <row r="103" spans="1:4" s="24" customFormat="1" ht="150" customHeight="1" x14ac:dyDescent="0.7">
      <c r="A103" s="94" t="s">
        <v>716</v>
      </c>
      <c r="C103" s="25">
        <v>189</v>
      </c>
      <c r="D103" s="89"/>
    </row>
    <row r="104" spans="1:4" s="24" customFormat="1" ht="150" customHeight="1" x14ac:dyDescent="0.7">
      <c r="A104" s="94" t="s">
        <v>412</v>
      </c>
      <c r="C104" s="25">
        <v>192</v>
      </c>
      <c r="D104" s="89"/>
    </row>
    <row r="105" spans="1:4" s="24" customFormat="1" ht="150" customHeight="1" x14ac:dyDescent="0.7">
      <c r="A105" s="94" t="s">
        <v>717</v>
      </c>
      <c r="C105" s="25">
        <v>193</v>
      </c>
      <c r="D105" s="89"/>
    </row>
    <row r="106" spans="1:4" s="24" customFormat="1" ht="150" customHeight="1" x14ac:dyDescent="0.7">
      <c r="A106" s="94" t="s">
        <v>413</v>
      </c>
      <c r="C106" s="25">
        <v>196</v>
      </c>
      <c r="D106" s="89"/>
    </row>
    <row r="107" spans="1:4" s="24" customFormat="1" ht="150" customHeight="1" x14ac:dyDescent="0.7">
      <c r="A107" s="94" t="s">
        <v>718</v>
      </c>
      <c r="C107" s="25">
        <v>197</v>
      </c>
      <c r="D107" s="89"/>
    </row>
    <row r="108" spans="1:4" s="24" customFormat="1" ht="150" customHeight="1" x14ac:dyDescent="0.7">
      <c r="A108" s="94" t="s">
        <v>414</v>
      </c>
      <c r="C108" s="25">
        <v>200</v>
      </c>
      <c r="D108" s="89"/>
    </row>
    <row r="109" spans="1:4" s="24" customFormat="1" ht="150" customHeight="1" x14ac:dyDescent="0.7">
      <c r="A109" s="94" t="s">
        <v>719</v>
      </c>
      <c r="C109" s="25">
        <v>201</v>
      </c>
      <c r="D109" s="89"/>
    </row>
    <row r="110" spans="1:4" s="24" customFormat="1" ht="150" customHeight="1" x14ac:dyDescent="0.7">
      <c r="A110" s="94" t="s">
        <v>415</v>
      </c>
      <c r="C110" s="25">
        <v>204</v>
      </c>
      <c r="D110" s="89"/>
    </row>
    <row r="111" spans="1:4" s="24" customFormat="1" ht="150" customHeight="1" x14ac:dyDescent="0.7">
      <c r="A111" s="94" t="s">
        <v>720</v>
      </c>
      <c r="C111" s="25">
        <v>205</v>
      </c>
      <c r="D111" s="89"/>
    </row>
    <row r="112" spans="1:4" s="24" customFormat="1" ht="150" customHeight="1" x14ac:dyDescent="0.7">
      <c r="A112" s="94" t="s">
        <v>416</v>
      </c>
      <c r="C112" s="25">
        <v>208</v>
      </c>
      <c r="D112" s="89"/>
    </row>
    <row r="113" spans="1:4" s="24" customFormat="1" ht="150" customHeight="1" x14ac:dyDescent="0.7">
      <c r="A113" s="94" t="s">
        <v>721</v>
      </c>
      <c r="C113" s="25">
        <v>209</v>
      </c>
      <c r="D113" s="89"/>
    </row>
    <row r="114" spans="1:4" s="24" customFormat="1" ht="150" customHeight="1" x14ac:dyDescent="0.7">
      <c r="A114" s="94" t="s">
        <v>417</v>
      </c>
      <c r="C114" s="25">
        <v>212</v>
      </c>
      <c r="D114" s="89"/>
    </row>
    <row r="115" spans="1:4" s="24" customFormat="1" ht="150" customHeight="1" x14ac:dyDescent="0.7">
      <c r="A115" s="94" t="s">
        <v>722</v>
      </c>
      <c r="C115" s="25">
        <v>213</v>
      </c>
      <c r="D115" s="89"/>
    </row>
    <row r="116" spans="1:4" s="24" customFormat="1" ht="150" customHeight="1" x14ac:dyDescent="0.7">
      <c r="A116" s="94" t="s">
        <v>418</v>
      </c>
      <c r="C116" s="25">
        <v>216</v>
      </c>
      <c r="D116" s="89"/>
    </row>
    <row r="117" spans="1:4" s="24" customFormat="1" ht="150" customHeight="1" x14ac:dyDescent="0.7">
      <c r="A117" s="94" t="s">
        <v>723</v>
      </c>
      <c r="C117" s="25">
        <v>217</v>
      </c>
      <c r="D117" s="89"/>
    </row>
    <row r="118" spans="1:4" s="24" customFormat="1" ht="150" customHeight="1" x14ac:dyDescent="0.7">
      <c r="A118" s="94" t="s">
        <v>419</v>
      </c>
      <c r="C118" s="25">
        <v>220</v>
      </c>
      <c r="D118" s="89"/>
    </row>
    <row r="119" spans="1:4" s="24" customFormat="1" ht="150" customHeight="1" x14ac:dyDescent="0.7">
      <c r="A119" s="94" t="s">
        <v>724</v>
      </c>
      <c r="C119" s="25">
        <v>221</v>
      </c>
      <c r="D119" s="89"/>
    </row>
    <row r="120" spans="1:4" s="24" customFormat="1" ht="150" customHeight="1" x14ac:dyDescent="0.7">
      <c r="A120" s="94" t="s">
        <v>420</v>
      </c>
      <c r="C120" s="25">
        <v>224</v>
      </c>
      <c r="D120" s="89"/>
    </row>
    <row r="121" spans="1:4" s="24" customFormat="1" ht="150" customHeight="1" x14ac:dyDescent="0.7">
      <c r="A121" s="94" t="s">
        <v>725</v>
      </c>
      <c r="C121" s="25">
        <v>225</v>
      </c>
      <c r="D121" s="89"/>
    </row>
    <row r="122" spans="1:4" s="24" customFormat="1" ht="150" customHeight="1" x14ac:dyDescent="0.7">
      <c r="A122" s="94" t="s">
        <v>726</v>
      </c>
      <c r="C122" s="25">
        <v>228</v>
      </c>
      <c r="D122" s="89"/>
    </row>
    <row r="123" spans="1:4" s="24" customFormat="1" ht="150" customHeight="1" x14ac:dyDescent="0.7">
      <c r="A123" s="94" t="s">
        <v>727</v>
      </c>
      <c r="C123" s="25">
        <v>231</v>
      </c>
      <c r="D123" s="89"/>
    </row>
    <row r="124" spans="1:4" s="24" customFormat="1" ht="150" customHeight="1" x14ac:dyDescent="0.7">
      <c r="A124" s="94" t="s">
        <v>728</v>
      </c>
      <c r="C124" s="25">
        <v>234</v>
      </c>
      <c r="D124" s="89"/>
    </row>
    <row r="125" spans="1:4" s="24" customFormat="1" ht="150" customHeight="1" x14ac:dyDescent="0.7">
      <c r="A125" s="94" t="s">
        <v>729</v>
      </c>
      <c r="C125" s="25">
        <v>237</v>
      </c>
      <c r="D125" s="89"/>
    </row>
    <row r="126" spans="1:4" s="24" customFormat="1" ht="150" customHeight="1" x14ac:dyDescent="0.7">
      <c r="A126" s="94" t="s">
        <v>587</v>
      </c>
      <c r="C126" s="25">
        <v>240</v>
      </c>
      <c r="D126" s="89"/>
    </row>
    <row r="127" spans="1:4" s="24" customFormat="1" ht="150" customHeight="1" x14ac:dyDescent="0.7">
      <c r="A127" s="94" t="s">
        <v>556</v>
      </c>
      <c r="C127" s="25">
        <v>241</v>
      </c>
      <c r="D127" s="89"/>
    </row>
    <row r="128" spans="1:4" s="24" customFormat="1" ht="150" customHeight="1" x14ac:dyDescent="0.7">
      <c r="A128" s="94" t="s">
        <v>588</v>
      </c>
      <c r="C128" s="25">
        <v>242</v>
      </c>
      <c r="D128" s="89"/>
    </row>
    <row r="129" spans="1:4" s="24" customFormat="1" ht="150" customHeight="1" x14ac:dyDescent="0.7">
      <c r="A129" s="94" t="s">
        <v>557</v>
      </c>
      <c r="C129" s="25">
        <v>243</v>
      </c>
      <c r="D129" s="89"/>
    </row>
    <row r="130" spans="1:4" s="24" customFormat="1" ht="150" customHeight="1" x14ac:dyDescent="0.7">
      <c r="A130" s="94" t="s">
        <v>568</v>
      </c>
      <c r="C130" s="25">
        <v>244</v>
      </c>
      <c r="D130" s="89"/>
    </row>
    <row r="131" spans="1:4" s="24" customFormat="1" ht="150" customHeight="1" x14ac:dyDescent="0.7">
      <c r="A131" s="94" t="s">
        <v>558</v>
      </c>
      <c r="C131" s="25">
        <v>245</v>
      </c>
      <c r="D131" s="89"/>
    </row>
    <row r="132" spans="1:4" s="24" customFormat="1" ht="150" customHeight="1" x14ac:dyDescent="0.7">
      <c r="A132" s="94" t="s">
        <v>590</v>
      </c>
      <c r="C132" s="25">
        <v>246</v>
      </c>
      <c r="D132" s="89"/>
    </row>
    <row r="133" spans="1:4" s="24" customFormat="1" ht="150" customHeight="1" x14ac:dyDescent="0.7">
      <c r="A133" s="94" t="s">
        <v>591</v>
      </c>
      <c r="C133" s="25">
        <v>247</v>
      </c>
      <c r="D133" s="89"/>
    </row>
    <row r="134" spans="1:4" s="24" customFormat="1" ht="150" customHeight="1" x14ac:dyDescent="0.7">
      <c r="A134" s="94" t="s">
        <v>592</v>
      </c>
      <c r="C134" s="25">
        <v>248</v>
      </c>
      <c r="D134" s="89"/>
    </row>
    <row r="135" spans="1:4" s="24" customFormat="1" ht="150" customHeight="1" x14ac:dyDescent="0.7">
      <c r="A135" s="94" t="s">
        <v>593</v>
      </c>
      <c r="C135" s="25">
        <v>249</v>
      </c>
      <c r="D135" s="89"/>
    </row>
    <row r="136" spans="1:4" s="24" customFormat="1" ht="150" customHeight="1" x14ac:dyDescent="0.7">
      <c r="A136" s="94">
        <v>6506</v>
      </c>
      <c r="C136" s="25">
        <v>250</v>
      </c>
      <c r="D136" s="89"/>
    </row>
    <row r="137" spans="1:4" s="24" customFormat="1" ht="150" customHeight="1" x14ac:dyDescent="0.7">
      <c r="A137" s="94">
        <v>6507</v>
      </c>
      <c r="C137" s="25">
        <v>251</v>
      </c>
      <c r="D137" s="89"/>
    </row>
    <row r="138" spans="1:4" s="24" customFormat="1" ht="150" customHeight="1" x14ac:dyDescent="0.7">
      <c r="A138" s="94" t="s">
        <v>610</v>
      </c>
      <c r="C138" s="25">
        <v>252</v>
      </c>
      <c r="D138" s="89"/>
    </row>
    <row r="139" spans="1:4" s="24" customFormat="1" ht="150" customHeight="1" x14ac:dyDescent="0.7">
      <c r="A139" s="94">
        <v>6508</v>
      </c>
      <c r="C139" s="25">
        <v>253</v>
      </c>
      <c r="D139" s="89"/>
    </row>
    <row r="140" spans="1:4" s="24" customFormat="1" ht="150" customHeight="1" x14ac:dyDescent="0.7">
      <c r="A140" s="94">
        <v>6509</v>
      </c>
      <c r="C140" s="25">
        <v>254</v>
      </c>
      <c r="D140" s="89"/>
    </row>
    <row r="141" spans="1:4" s="24" customFormat="1" ht="150" customHeight="1" x14ac:dyDescent="0.7">
      <c r="A141" s="94" t="s">
        <v>611</v>
      </c>
      <c r="C141" s="25">
        <v>255</v>
      </c>
      <c r="D141" s="89"/>
    </row>
    <row r="142" spans="1:4" s="24" customFormat="1" ht="150" customHeight="1" x14ac:dyDescent="0.7">
      <c r="A142" s="94">
        <v>6566</v>
      </c>
      <c r="C142" s="25">
        <v>256</v>
      </c>
      <c r="D142" s="89"/>
    </row>
    <row r="143" spans="1:4" s="24" customFormat="1" ht="150" customHeight="1" x14ac:dyDescent="0.7">
      <c r="A143" s="94">
        <v>6567</v>
      </c>
      <c r="C143" s="25">
        <v>257</v>
      </c>
      <c r="D143" s="89"/>
    </row>
    <row r="144" spans="1:4" s="24" customFormat="1" ht="150" customHeight="1" x14ac:dyDescent="0.7">
      <c r="A144" s="94" t="s">
        <v>612</v>
      </c>
      <c r="C144" s="25">
        <v>258</v>
      </c>
      <c r="D144" s="89"/>
    </row>
    <row r="145" spans="1:4" s="24" customFormat="1" ht="150" customHeight="1" x14ac:dyDescent="0.7">
      <c r="A145" s="94">
        <v>6568</v>
      </c>
      <c r="C145" s="25">
        <v>259</v>
      </c>
      <c r="D145" s="89"/>
    </row>
    <row r="146" spans="1:4" s="24" customFormat="1" ht="150" customHeight="1" x14ac:dyDescent="0.7">
      <c r="A146" s="94">
        <v>6569</v>
      </c>
      <c r="C146" s="25">
        <v>260</v>
      </c>
      <c r="D146" s="89"/>
    </row>
    <row r="147" spans="1:4" s="24" customFormat="1" ht="150" customHeight="1" x14ac:dyDescent="0.7">
      <c r="A147" s="94" t="s">
        <v>613</v>
      </c>
      <c r="C147" s="25">
        <v>261</v>
      </c>
      <c r="D147" s="89"/>
    </row>
    <row r="148" spans="1:4" s="24" customFormat="1" ht="150" customHeight="1" x14ac:dyDescent="0.7">
      <c r="A148" s="94"/>
      <c r="C148" s="25"/>
      <c r="D148" s="89"/>
    </row>
    <row r="149" spans="1:4" s="24" customFormat="1" ht="150" customHeight="1" x14ac:dyDescent="0.7">
      <c r="A149" s="94"/>
      <c r="C149" s="25"/>
      <c r="D149" s="89"/>
    </row>
    <row r="150" spans="1:4" s="24" customFormat="1" ht="150" customHeight="1" x14ac:dyDescent="0.7">
      <c r="A150" s="94"/>
      <c r="C150" s="25"/>
      <c r="D150" s="89"/>
    </row>
    <row r="151" spans="1:4" s="24" customFormat="1" ht="150" customHeight="1" x14ac:dyDescent="0.7">
      <c r="A151" s="94"/>
      <c r="C151" s="25"/>
      <c r="D151" s="89"/>
    </row>
    <row r="152" spans="1:4" s="24" customFormat="1" ht="150" customHeight="1" x14ac:dyDescent="0.7">
      <c r="A152" s="94"/>
      <c r="C152" s="25"/>
      <c r="D152" s="89"/>
    </row>
    <row r="153" spans="1:4" s="24" customFormat="1" ht="150" customHeight="1" x14ac:dyDescent="0.7">
      <c r="A153" s="94"/>
      <c r="C153" s="25"/>
      <c r="D153" s="89"/>
    </row>
    <row r="154" spans="1:4" s="24" customFormat="1" ht="150" customHeight="1" x14ac:dyDescent="0.7">
      <c r="A154" s="94"/>
      <c r="C154" s="25"/>
      <c r="D154" s="89"/>
    </row>
    <row r="155" spans="1:4" s="24" customFormat="1" ht="150" customHeight="1" x14ac:dyDescent="0.7">
      <c r="A155" s="94"/>
      <c r="C155" s="25"/>
      <c r="D155" s="89"/>
    </row>
    <row r="156" spans="1:4" s="24" customFormat="1" ht="150" customHeight="1" x14ac:dyDescent="0.7">
      <c r="A156" s="94"/>
      <c r="C156" s="25"/>
      <c r="D156" s="89"/>
    </row>
    <row r="157" spans="1:4" s="24" customFormat="1" ht="150" customHeight="1" x14ac:dyDescent="0.7">
      <c r="A157" s="94"/>
      <c r="C157" s="25"/>
      <c r="D157" s="89"/>
    </row>
    <row r="158" spans="1:4" s="24" customFormat="1" ht="150" customHeight="1" x14ac:dyDescent="0.7">
      <c r="A158" s="94"/>
      <c r="C158" s="25"/>
      <c r="D158" s="89"/>
    </row>
    <row r="159" spans="1:4" s="24" customFormat="1" ht="150" customHeight="1" x14ac:dyDescent="0.7">
      <c r="A159" s="94"/>
      <c r="C159" s="25"/>
      <c r="D159" s="8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1"/>
  <sheetViews>
    <sheetView showGridLines="0" zoomScale="85" zoomScaleNormal="85" workbookViewId="0">
      <selection activeCell="G11" sqref="G1:G11"/>
    </sheetView>
  </sheetViews>
  <sheetFormatPr defaultColWidth="9.33203125" defaultRowHeight="14.4" x14ac:dyDescent="0.3"/>
  <cols>
    <col min="1" max="1" width="6.44140625" style="2" bestFit="1" customWidth="1"/>
    <col min="2" max="2" width="13.33203125" style="2" bestFit="1" customWidth="1"/>
    <col min="3" max="3" width="3.44140625" style="2" customWidth="1"/>
    <col min="4" max="4" width="9.33203125" style="2"/>
    <col min="5" max="5" width="9.33203125" style="2" customWidth="1"/>
    <col min="6" max="16384" width="9.33203125" style="2"/>
  </cols>
  <sheetData>
    <row r="1" spans="1:7" s="88" customFormat="1" x14ac:dyDescent="0.3">
      <c r="A1" s="88" t="s">
        <v>129</v>
      </c>
      <c r="B1" s="88" t="s">
        <v>130</v>
      </c>
      <c r="G1"/>
    </row>
    <row r="2" spans="1:7" x14ac:dyDescent="0.3">
      <c r="A2" s="2" t="s">
        <v>127</v>
      </c>
      <c r="B2" s="2">
        <v>0</v>
      </c>
      <c r="G2"/>
    </row>
    <row r="3" spans="1:7" x14ac:dyDescent="0.3">
      <c r="A3" s="2" t="s">
        <v>109</v>
      </c>
      <c r="B3" s="2">
        <v>0</v>
      </c>
      <c r="G3"/>
    </row>
    <row r="4" spans="1:7" x14ac:dyDescent="0.3">
      <c r="A4" s="2" t="s">
        <v>110</v>
      </c>
      <c r="B4" s="2">
        <v>104</v>
      </c>
      <c r="G4"/>
    </row>
    <row r="5" spans="1:7" x14ac:dyDescent="0.3">
      <c r="A5" s="2" t="s">
        <v>941</v>
      </c>
      <c r="B5" s="2">
        <v>38</v>
      </c>
      <c r="G5"/>
    </row>
    <row r="6" spans="1:7" x14ac:dyDescent="0.3">
      <c r="A6" s="2" t="s">
        <v>111</v>
      </c>
      <c r="B6" s="2">
        <v>63</v>
      </c>
      <c r="G6"/>
    </row>
    <row r="7" spans="1:7" x14ac:dyDescent="0.3">
      <c r="A7" s="2" t="s">
        <v>112</v>
      </c>
      <c r="B7" s="2">
        <v>78</v>
      </c>
      <c r="G7"/>
    </row>
    <row r="8" spans="1:7" x14ac:dyDescent="0.3">
      <c r="A8" s="2" t="s">
        <v>113</v>
      </c>
      <c r="B8" s="2">
        <v>104</v>
      </c>
      <c r="G8"/>
    </row>
    <row r="9" spans="1:7" x14ac:dyDescent="0.3">
      <c r="A9" s="2" t="s">
        <v>114</v>
      </c>
      <c r="B9" s="2">
        <v>132</v>
      </c>
      <c r="G9"/>
    </row>
    <row r="10" spans="1:7" x14ac:dyDescent="0.3">
      <c r="A10" s="2" t="s">
        <v>115</v>
      </c>
      <c r="B10" s="2">
        <v>157</v>
      </c>
      <c r="G10"/>
    </row>
    <row r="11" spans="1:7" x14ac:dyDescent="0.3">
      <c r="A11" s="2" t="s">
        <v>116</v>
      </c>
      <c r="B11" s="2">
        <v>183</v>
      </c>
      <c r="G11"/>
    </row>
    <row r="12" spans="1:7" x14ac:dyDescent="0.3">
      <c r="A12" s="2" t="s">
        <v>117</v>
      </c>
      <c r="B12" s="2">
        <v>207</v>
      </c>
    </row>
    <row r="13" spans="1:7" x14ac:dyDescent="0.3">
      <c r="A13" s="2" t="s">
        <v>118</v>
      </c>
      <c r="B13" s="2">
        <v>235</v>
      </c>
    </row>
    <row r="14" spans="1:7" x14ac:dyDescent="0.3">
      <c r="A14" s="2" t="s">
        <v>445</v>
      </c>
      <c r="B14" s="2">
        <v>0</v>
      </c>
    </row>
    <row r="16" spans="1:7" x14ac:dyDescent="0.3">
      <c r="A16" s="88" t="s">
        <v>274</v>
      </c>
      <c r="B16" s="88" t="s">
        <v>119</v>
      </c>
    </row>
    <row r="17" spans="1:2" x14ac:dyDescent="0.3">
      <c r="A17" s="2">
        <v>1</v>
      </c>
      <c r="B17" s="2">
        <v>0</v>
      </c>
    </row>
    <row r="18" spans="1:2" x14ac:dyDescent="0.3">
      <c r="A18" s="2">
        <v>2</v>
      </c>
      <c r="B18" s="2">
        <v>175</v>
      </c>
    </row>
    <row r="19" spans="1:2" x14ac:dyDescent="0.3">
      <c r="A19" s="2">
        <v>3</v>
      </c>
      <c r="B19" s="2">
        <v>225</v>
      </c>
    </row>
    <row r="20" spans="1:2" x14ac:dyDescent="0.3">
      <c r="A20" s="2">
        <v>4</v>
      </c>
      <c r="B20" s="2">
        <v>300</v>
      </c>
    </row>
    <row r="21" spans="1:2" x14ac:dyDescent="0.3">
      <c r="A21" s="2">
        <v>0</v>
      </c>
      <c r="B21" s="2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177"/>
  <sheetViews>
    <sheetView workbookViewId="0">
      <selection activeCell="AF24" sqref="AF24"/>
    </sheetView>
  </sheetViews>
  <sheetFormatPr defaultRowHeight="14.4" x14ac:dyDescent="0.3"/>
  <cols>
    <col min="1" max="1" width="14.44140625" bestFit="1" customWidth="1"/>
    <col min="2" max="2" width="6" bestFit="1" customWidth="1"/>
  </cols>
  <sheetData>
    <row r="2" spans="1:2" x14ac:dyDescent="0.3">
      <c r="A2">
        <v>6506</v>
      </c>
      <c r="B2">
        <v>2795</v>
      </c>
    </row>
    <row r="3" spans="1:2" x14ac:dyDescent="0.3">
      <c r="A3">
        <v>6507</v>
      </c>
      <c r="B3">
        <v>3415</v>
      </c>
    </row>
    <row r="4" spans="1:2" x14ac:dyDescent="0.3">
      <c r="A4" t="s">
        <v>610</v>
      </c>
      <c r="B4">
        <v>4403</v>
      </c>
    </row>
    <row r="5" spans="1:2" x14ac:dyDescent="0.3">
      <c r="A5">
        <v>6508</v>
      </c>
      <c r="B5">
        <v>3454</v>
      </c>
    </row>
    <row r="6" spans="1:2" x14ac:dyDescent="0.3">
      <c r="A6">
        <v>6509</v>
      </c>
      <c r="B6">
        <v>4133</v>
      </c>
    </row>
    <row r="7" spans="1:2" x14ac:dyDescent="0.3">
      <c r="A7" t="s">
        <v>611</v>
      </c>
      <c r="B7">
        <v>5140</v>
      </c>
    </row>
    <row r="8" spans="1:2" x14ac:dyDescent="0.3">
      <c r="A8">
        <v>6510</v>
      </c>
      <c r="B8">
        <v>5550</v>
      </c>
    </row>
    <row r="9" spans="1:2" x14ac:dyDescent="0.3">
      <c r="A9">
        <v>6511</v>
      </c>
      <c r="B9">
        <v>7224</v>
      </c>
    </row>
    <row r="10" spans="1:2" x14ac:dyDescent="0.3">
      <c r="A10">
        <v>6512</v>
      </c>
      <c r="B10">
        <v>9206</v>
      </c>
    </row>
    <row r="11" spans="1:2" x14ac:dyDescent="0.3">
      <c r="A11">
        <v>6513</v>
      </c>
      <c r="B11">
        <v>9256</v>
      </c>
    </row>
    <row r="12" spans="1:2" x14ac:dyDescent="0.3">
      <c r="A12" t="s">
        <v>675</v>
      </c>
      <c r="B12">
        <v>9043</v>
      </c>
    </row>
    <row r="13" spans="1:2" x14ac:dyDescent="0.3">
      <c r="A13" t="s">
        <v>677</v>
      </c>
      <c r="B13">
        <v>11023</v>
      </c>
    </row>
    <row r="14" spans="1:2" x14ac:dyDescent="0.3">
      <c r="A14" t="s">
        <v>679</v>
      </c>
      <c r="B14">
        <v>11075</v>
      </c>
    </row>
    <row r="15" spans="1:2" x14ac:dyDescent="0.3">
      <c r="A15" t="s">
        <v>448</v>
      </c>
      <c r="B15">
        <v>6970</v>
      </c>
    </row>
    <row r="16" spans="1:2" x14ac:dyDescent="0.3">
      <c r="A16" t="s">
        <v>449</v>
      </c>
      <c r="B16">
        <v>8646</v>
      </c>
    </row>
    <row r="17" spans="1:2" x14ac:dyDescent="0.3">
      <c r="A17" t="s">
        <v>450</v>
      </c>
      <c r="B17">
        <v>10625</v>
      </c>
    </row>
    <row r="18" spans="1:2" x14ac:dyDescent="0.3">
      <c r="A18" t="s">
        <v>451</v>
      </c>
      <c r="B18">
        <v>10678</v>
      </c>
    </row>
    <row r="19" spans="1:2" x14ac:dyDescent="0.3">
      <c r="A19" t="s">
        <v>730</v>
      </c>
      <c r="B19">
        <v>10463</v>
      </c>
    </row>
    <row r="20" spans="1:2" x14ac:dyDescent="0.3">
      <c r="A20" t="s">
        <v>731</v>
      </c>
      <c r="B20">
        <v>12444</v>
      </c>
    </row>
    <row r="21" spans="1:2" x14ac:dyDescent="0.3">
      <c r="A21" t="s">
        <v>732</v>
      </c>
      <c r="B21">
        <v>12494</v>
      </c>
    </row>
    <row r="22" spans="1:2" x14ac:dyDescent="0.3">
      <c r="A22" t="s">
        <v>587</v>
      </c>
      <c r="B22">
        <v>5211</v>
      </c>
    </row>
    <row r="23" spans="1:2" x14ac:dyDescent="0.3">
      <c r="A23" t="s">
        <v>556</v>
      </c>
      <c r="B23">
        <v>6885</v>
      </c>
    </row>
    <row r="24" spans="1:2" x14ac:dyDescent="0.3">
      <c r="A24" t="s">
        <v>588</v>
      </c>
      <c r="B24">
        <v>8703</v>
      </c>
    </row>
    <row r="25" spans="1:2" x14ac:dyDescent="0.3">
      <c r="A25" t="s">
        <v>557</v>
      </c>
      <c r="B25">
        <v>8856</v>
      </c>
    </row>
    <row r="26" spans="1:2" x14ac:dyDescent="0.3">
      <c r="A26" t="s">
        <v>568</v>
      </c>
      <c r="B26">
        <v>10675</v>
      </c>
    </row>
    <row r="27" spans="1:2" x14ac:dyDescent="0.3">
      <c r="A27" t="s">
        <v>558</v>
      </c>
      <c r="B27">
        <v>5211</v>
      </c>
    </row>
    <row r="28" spans="1:2" x14ac:dyDescent="0.3">
      <c r="A28" t="s">
        <v>590</v>
      </c>
      <c r="B28">
        <v>6885</v>
      </c>
    </row>
    <row r="29" spans="1:2" x14ac:dyDescent="0.3">
      <c r="A29" t="s">
        <v>591</v>
      </c>
      <c r="B29">
        <v>8703</v>
      </c>
    </row>
    <row r="30" spans="1:2" x14ac:dyDescent="0.3">
      <c r="A30" t="s">
        <v>592</v>
      </c>
      <c r="B30">
        <v>8856</v>
      </c>
    </row>
    <row r="31" spans="1:2" x14ac:dyDescent="0.3">
      <c r="A31" t="s">
        <v>593</v>
      </c>
      <c r="B31">
        <v>10675</v>
      </c>
    </row>
    <row r="32" spans="1:2" x14ac:dyDescent="0.3">
      <c r="A32">
        <v>6520</v>
      </c>
      <c r="B32">
        <v>7025</v>
      </c>
    </row>
    <row r="33" spans="1:2" x14ac:dyDescent="0.3">
      <c r="A33">
        <v>6521</v>
      </c>
      <c r="B33">
        <v>9024</v>
      </c>
    </row>
    <row r="34" spans="1:2" x14ac:dyDescent="0.3">
      <c r="A34">
        <v>6522</v>
      </c>
      <c r="B34">
        <v>11796</v>
      </c>
    </row>
    <row r="35" spans="1:2" x14ac:dyDescent="0.3">
      <c r="A35">
        <v>6523</v>
      </c>
      <c r="B35">
        <v>11870</v>
      </c>
    </row>
    <row r="36" spans="1:2" x14ac:dyDescent="0.3">
      <c r="A36" t="s">
        <v>681</v>
      </c>
      <c r="B36">
        <v>11964</v>
      </c>
    </row>
    <row r="37" spans="1:2" x14ac:dyDescent="0.3">
      <c r="A37" t="s">
        <v>683</v>
      </c>
      <c r="B37">
        <v>14737</v>
      </c>
    </row>
    <row r="38" spans="1:2" x14ac:dyDescent="0.3">
      <c r="A38" t="s">
        <v>685</v>
      </c>
      <c r="B38">
        <v>14810</v>
      </c>
    </row>
    <row r="39" spans="1:2" x14ac:dyDescent="0.3">
      <c r="A39" t="s">
        <v>452</v>
      </c>
      <c r="B39">
        <v>9857</v>
      </c>
    </row>
    <row r="40" spans="1:2" x14ac:dyDescent="0.3">
      <c r="A40" t="s">
        <v>453</v>
      </c>
      <c r="B40">
        <v>11857</v>
      </c>
    </row>
    <row r="41" spans="1:2" x14ac:dyDescent="0.3">
      <c r="A41" t="s">
        <v>454</v>
      </c>
      <c r="B41">
        <v>14629</v>
      </c>
    </row>
    <row r="42" spans="1:2" x14ac:dyDescent="0.3">
      <c r="A42" t="s">
        <v>455</v>
      </c>
      <c r="B42">
        <v>14702</v>
      </c>
    </row>
    <row r="43" spans="1:2" x14ac:dyDescent="0.3">
      <c r="A43" t="s">
        <v>733</v>
      </c>
      <c r="B43">
        <v>14798</v>
      </c>
    </row>
    <row r="44" spans="1:2" x14ac:dyDescent="0.3">
      <c r="A44" t="s">
        <v>734</v>
      </c>
      <c r="B44">
        <v>17569</v>
      </c>
    </row>
    <row r="45" spans="1:2" x14ac:dyDescent="0.3">
      <c r="A45" t="s">
        <v>735</v>
      </c>
      <c r="B45">
        <v>17643</v>
      </c>
    </row>
    <row r="46" spans="1:2" x14ac:dyDescent="0.3">
      <c r="A46">
        <v>6532</v>
      </c>
      <c r="B46">
        <v>9551</v>
      </c>
    </row>
    <row r="47" spans="1:2" x14ac:dyDescent="0.3">
      <c r="A47">
        <v>6533</v>
      </c>
      <c r="B47">
        <v>9624</v>
      </c>
    </row>
    <row r="48" spans="1:2" x14ac:dyDescent="0.3">
      <c r="A48">
        <v>6534</v>
      </c>
      <c r="B48">
        <v>11486</v>
      </c>
    </row>
    <row r="49" spans="1:2" x14ac:dyDescent="0.3">
      <c r="A49">
        <v>6535</v>
      </c>
      <c r="B49">
        <v>11411</v>
      </c>
    </row>
    <row r="50" spans="1:2" x14ac:dyDescent="0.3">
      <c r="A50" t="s">
        <v>686</v>
      </c>
      <c r="B50">
        <v>11525</v>
      </c>
    </row>
    <row r="51" spans="1:2" x14ac:dyDescent="0.3">
      <c r="A51" t="s">
        <v>687</v>
      </c>
      <c r="B51">
        <v>11598</v>
      </c>
    </row>
    <row r="52" spans="1:2" x14ac:dyDescent="0.3">
      <c r="A52" t="s">
        <v>688</v>
      </c>
      <c r="B52">
        <v>13501</v>
      </c>
    </row>
    <row r="53" spans="1:2" x14ac:dyDescent="0.3">
      <c r="A53" t="s">
        <v>689</v>
      </c>
      <c r="B53">
        <v>13425</v>
      </c>
    </row>
    <row r="54" spans="1:2" x14ac:dyDescent="0.3">
      <c r="A54" t="s">
        <v>469</v>
      </c>
      <c r="B54">
        <v>8929</v>
      </c>
    </row>
    <row r="55" spans="1:2" x14ac:dyDescent="0.3">
      <c r="A55" t="s">
        <v>473</v>
      </c>
      <c r="B55">
        <v>9266</v>
      </c>
    </row>
    <row r="56" spans="1:2" x14ac:dyDescent="0.3">
      <c r="A56" t="s">
        <v>470</v>
      </c>
      <c r="B56">
        <v>9002</v>
      </c>
    </row>
    <row r="57" spans="1:2" x14ac:dyDescent="0.3">
      <c r="A57" t="s">
        <v>474</v>
      </c>
      <c r="B57">
        <v>9338</v>
      </c>
    </row>
    <row r="58" spans="1:2" x14ac:dyDescent="0.3">
      <c r="A58" t="s">
        <v>477</v>
      </c>
      <c r="B58">
        <v>9565</v>
      </c>
    </row>
    <row r="59" spans="1:2" x14ac:dyDescent="0.3">
      <c r="A59" t="s">
        <v>485</v>
      </c>
      <c r="B59">
        <v>9901</v>
      </c>
    </row>
    <row r="60" spans="1:2" x14ac:dyDescent="0.3">
      <c r="A60" t="s">
        <v>478</v>
      </c>
      <c r="B60">
        <v>9638</v>
      </c>
    </row>
    <row r="61" spans="1:2" x14ac:dyDescent="0.3">
      <c r="A61" t="s">
        <v>486</v>
      </c>
      <c r="B61">
        <v>9974</v>
      </c>
    </row>
    <row r="62" spans="1:2" x14ac:dyDescent="0.3">
      <c r="A62" t="s">
        <v>479</v>
      </c>
      <c r="B62">
        <v>10568</v>
      </c>
    </row>
    <row r="63" spans="1:2" x14ac:dyDescent="0.3">
      <c r="A63" t="s">
        <v>487</v>
      </c>
      <c r="B63">
        <v>10904</v>
      </c>
    </row>
    <row r="64" spans="1:2" x14ac:dyDescent="0.3">
      <c r="A64" t="s">
        <v>493</v>
      </c>
      <c r="B64">
        <v>10610</v>
      </c>
    </row>
    <row r="65" spans="1:2" x14ac:dyDescent="0.3">
      <c r="A65" t="s">
        <v>497</v>
      </c>
      <c r="B65">
        <v>10945</v>
      </c>
    </row>
    <row r="66" spans="1:2" x14ac:dyDescent="0.3">
      <c r="A66" t="s">
        <v>480</v>
      </c>
      <c r="B66">
        <v>10492</v>
      </c>
    </row>
    <row r="67" spans="1:2" x14ac:dyDescent="0.3">
      <c r="A67" t="s">
        <v>488</v>
      </c>
      <c r="B67">
        <v>10829</v>
      </c>
    </row>
    <row r="68" spans="1:2" x14ac:dyDescent="0.3">
      <c r="A68" t="s">
        <v>494</v>
      </c>
      <c r="B68">
        <v>10533</v>
      </c>
    </row>
    <row r="69" spans="1:2" x14ac:dyDescent="0.3">
      <c r="A69" t="s">
        <v>498</v>
      </c>
      <c r="B69">
        <v>10869</v>
      </c>
    </row>
    <row r="70" spans="1:2" x14ac:dyDescent="0.3">
      <c r="A70" t="s">
        <v>736</v>
      </c>
      <c r="B70">
        <v>10904</v>
      </c>
    </row>
    <row r="71" spans="1:2" x14ac:dyDescent="0.3">
      <c r="A71" t="s">
        <v>737</v>
      </c>
      <c r="B71">
        <v>11240</v>
      </c>
    </row>
    <row r="72" spans="1:2" x14ac:dyDescent="0.3">
      <c r="A72" t="s">
        <v>738</v>
      </c>
      <c r="B72">
        <v>10977</v>
      </c>
    </row>
    <row r="73" spans="1:2" x14ac:dyDescent="0.3">
      <c r="A73" t="s">
        <v>739</v>
      </c>
      <c r="B73">
        <v>11312</v>
      </c>
    </row>
    <row r="74" spans="1:2" x14ac:dyDescent="0.3">
      <c r="A74" t="s">
        <v>740</v>
      </c>
      <c r="B74">
        <v>11540</v>
      </c>
    </row>
    <row r="75" spans="1:2" x14ac:dyDescent="0.3">
      <c r="A75" t="s">
        <v>741</v>
      </c>
      <c r="B75">
        <v>11876</v>
      </c>
    </row>
    <row r="76" spans="1:2" x14ac:dyDescent="0.3">
      <c r="A76" t="s">
        <v>742</v>
      </c>
      <c r="B76">
        <v>11612</v>
      </c>
    </row>
    <row r="77" spans="1:2" x14ac:dyDescent="0.3">
      <c r="A77" t="s">
        <v>743</v>
      </c>
      <c r="B77">
        <v>11949</v>
      </c>
    </row>
    <row r="78" spans="1:2" x14ac:dyDescent="0.3">
      <c r="A78" t="s">
        <v>744</v>
      </c>
      <c r="B78">
        <v>12582</v>
      </c>
    </row>
    <row r="79" spans="1:2" x14ac:dyDescent="0.3">
      <c r="A79" t="s">
        <v>745</v>
      </c>
      <c r="B79">
        <v>12918</v>
      </c>
    </row>
    <row r="80" spans="1:2" x14ac:dyDescent="0.3">
      <c r="A80" t="s">
        <v>746</v>
      </c>
      <c r="B80">
        <v>12624</v>
      </c>
    </row>
    <row r="81" spans="1:2" x14ac:dyDescent="0.3">
      <c r="A81" t="s">
        <v>747</v>
      </c>
      <c r="B81">
        <v>12959</v>
      </c>
    </row>
    <row r="82" spans="1:2" x14ac:dyDescent="0.3">
      <c r="A82" t="s">
        <v>748</v>
      </c>
      <c r="B82">
        <v>12507</v>
      </c>
    </row>
    <row r="83" spans="1:2" x14ac:dyDescent="0.3">
      <c r="A83" t="s">
        <v>749</v>
      </c>
      <c r="B83">
        <v>12843</v>
      </c>
    </row>
    <row r="84" spans="1:2" x14ac:dyDescent="0.3">
      <c r="A84" t="s">
        <v>750</v>
      </c>
      <c r="B84">
        <v>12547</v>
      </c>
    </row>
    <row r="85" spans="1:2" x14ac:dyDescent="0.3">
      <c r="A85" t="s">
        <v>751</v>
      </c>
      <c r="B85">
        <v>12884</v>
      </c>
    </row>
    <row r="86" spans="1:2" x14ac:dyDescent="0.3">
      <c r="A86">
        <v>6552</v>
      </c>
      <c r="B86">
        <v>3723</v>
      </c>
    </row>
    <row r="87" spans="1:2" x14ac:dyDescent="0.3">
      <c r="A87">
        <v>6553</v>
      </c>
      <c r="B87">
        <v>3801</v>
      </c>
    </row>
    <row r="88" spans="1:2" x14ac:dyDescent="0.3">
      <c r="A88">
        <v>6554</v>
      </c>
      <c r="B88">
        <v>4296</v>
      </c>
    </row>
    <row r="89" spans="1:2" x14ac:dyDescent="0.3">
      <c r="A89">
        <v>6555</v>
      </c>
      <c r="B89">
        <v>4228</v>
      </c>
    </row>
    <row r="90" spans="1:2" x14ac:dyDescent="0.3">
      <c r="A90" t="s">
        <v>706</v>
      </c>
      <c r="B90">
        <v>4711</v>
      </c>
    </row>
    <row r="91" spans="1:2" x14ac:dyDescent="0.3">
      <c r="A91" t="s">
        <v>707</v>
      </c>
      <c r="B91">
        <v>4788</v>
      </c>
    </row>
    <row r="92" spans="1:2" x14ac:dyDescent="0.3">
      <c r="A92" t="s">
        <v>708</v>
      </c>
      <c r="B92">
        <v>5303</v>
      </c>
    </row>
    <row r="93" spans="1:2" x14ac:dyDescent="0.3">
      <c r="A93" t="s">
        <v>709</v>
      </c>
      <c r="B93">
        <v>5236</v>
      </c>
    </row>
    <row r="94" spans="1:2" x14ac:dyDescent="0.3">
      <c r="A94" t="s">
        <v>471</v>
      </c>
      <c r="B94">
        <v>4945</v>
      </c>
    </row>
    <row r="95" spans="1:2" x14ac:dyDescent="0.3">
      <c r="A95" t="s">
        <v>475</v>
      </c>
      <c r="B95">
        <v>4945</v>
      </c>
    </row>
    <row r="96" spans="1:2" x14ac:dyDescent="0.3">
      <c r="A96" t="s">
        <v>481</v>
      </c>
      <c r="B96">
        <v>5703</v>
      </c>
    </row>
    <row r="97" spans="1:2" x14ac:dyDescent="0.3">
      <c r="A97" t="s">
        <v>489</v>
      </c>
      <c r="B97">
        <v>5703</v>
      </c>
    </row>
    <row r="98" spans="1:2" x14ac:dyDescent="0.3">
      <c r="A98" t="s">
        <v>472</v>
      </c>
      <c r="B98">
        <v>5022</v>
      </c>
    </row>
    <row r="99" spans="1:2" x14ac:dyDescent="0.3">
      <c r="A99" t="s">
        <v>476</v>
      </c>
      <c r="B99">
        <v>5022</v>
      </c>
    </row>
    <row r="100" spans="1:2" x14ac:dyDescent="0.3">
      <c r="A100" t="s">
        <v>482</v>
      </c>
      <c r="B100">
        <v>5781</v>
      </c>
    </row>
    <row r="101" spans="1:2" x14ac:dyDescent="0.3">
      <c r="A101" t="s">
        <v>490</v>
      </c>
      <c r="B101">
        <v>5781</v>
      </c>
    </row>
    <row r="102" spans="1:2" x14ac:dyDescent="0.3">
      <c r="A102" t="s">
        <v>483</v>
      </c>
      <c r="B102">
        <v>6275</v>
      </c>
    </row>
    <row r="103" spans="1:2" x14ac:dyDescent="0.3">
      <c r="A103" t="s">
        <v>491</v>
      </c>
      <c r="B103">
        <v>6275</v>
      </c>
    </row>
    <row r="104" spans="1:2" x14ac:dyDescent="0.3">
      <c r="A104" t="s">
        <v>495</v>
      </c>
      <c r="B104">
        <v>6318</v>
      </c>
    </row>
    <row r="105" spans="1:2" x14ac:dyDescent="0.3">
      <c r="A105" t="s">
        <v>499</v>
      </c>
      <c r="B105">
        <v>6318</v>
      </c>
    </row>
    <row r="106" spans="1:2" x14ac:dyDescent="0.3">
      <c r="A106" t="s">
        <v>484</v>
      </c>
      <c r="B106">
        <v>6208</v>
      </c>
    </row>
    <row r="107" spans="1:2" x14ac:dyDescent="0.3">
      <c r="A107" t="s">
        <v>492</v>
      </c>
      <c r="B107">
        <v>6208</v>
      </c>
    </row>
    <row r="108" spans="1:2" x14ac:dyDescent="0.3">
      <c r="A108" t="s">
        <v>496</v>
      </c>
      <c r="B108">
        <v>6250</v>
      </c>
    </row>
    <row r="109" spans="1:2" x14ac:dyDescent="0.3">
      <c r="A109" t="s">
        <v>500</v>
      </c>
      <c r="B109">
        <v>6250</v>
      </c>
    </row>
    <row r="110" spans="1:2" x14ac:dyDescent="0.3">
      <c r="A110" t="s">
        <v>752</v>
      </c>
      <c r="B110">
        <v>5932</v>
      </c>
    </row>
    <row r="111" spans="1:2" x14ac:dyDescent="0.3">
      <c r="A111" t="s">
        <v>753</v>
      </c>
      <c r="B111">
        <v>5932</v>
      </c>
    </row>
    <row r="112" spans="1:2" x14ac:dyDescent="0.3">
      <c r="A112" t="s">
        <v>754</v>
      </c>
      <c r="B112">
        <v>6690</v>
      </c>
    </row>
    <row r="113" spans="1:2" x14ac:dyDescent="0.3">
      <c r="A113" t="s">
        <v>755</v>
      </c>
      <c r="B113">
        <v>6690</v>
      </c>
    </row>
    <row r="114" spans="1:2" x14ac:dyDescent="0.3">
      <c r="A114" t="s">
        <v>756</v>
      </c>
      <c r="B114">
        <v>6010</v>
      </c>
    </row>
    <row r="115" spans="1:2" x14ac:dyDescent="0.3">
      <c r="A115" t="s">
        <v>757</v>
      </c>
      <c r="B115">
        <v>6010</v>
      </c>
    </row>
    <row r="116" spans="1:2" x14ac:dyDescent="0.3">
      <c r="A116" t="s">
        <v>758</v>
      </c>
      <c r="B116">
        <v>6768</v>
      </c>
    </row>
    <row r="117" spans="1:2" x14ac:dyDescent="0.3">
      <c r="A117" t="s">
        <v>759</v>
      </c>
      <c r="B117">
        <v>6768</v>
      </c>
    </row>
    <row r="118" spans="1:2" x14ac:dyDescent="0.3">
      <c r="A118" t="s">
        <v>760</v>
      </c>
      <c r="B118">
        <v>7283</v>
      </c>
    </row>
    <row r="119" spans="1:2" x14ac:dyDescent="0.3">
      <c r="A119" t="s">
        <v>761</v>
      </c>
      <c r="B119">
        <v>7283</v>
      </c>
    </row>
    <row r="120" spans="1:2" x14ac:dyDescent="0.3">
      <c r="A120" t="s">
        <v>762</v>
      </c>
      <c r="B120">
        <v>7326</v>
      </c>
    </row>
    <row r="121" spans="1:2" x14ac:dyDescent="0.3">
      <c r="A121" t="s">
        <v>763</v>
      </c>
      <c r="B121">
        <v>7326</v>
      </c>
    </row>
    <row r="122" spans="1:2" x14ac:dyDescent="0.3">
      <c r="A122" t="s">
        <v>764</v>
      </c>
      <c r="B122">
        <v>7215</v>
      </c>
    </row>
    <row r="123" spans="1:2" x14ac:dyDescent="0.3">
      <c r="A123" t="s">
        <v>765</v>
      </c>
      <c r="B123">
        <v>7215</v>
      </c>
    </row>
    <row r="124" spans="1:2" x14ac:dyDescent="0.3">
      <c r="A124" t="s">
        <v>766</v>
      </c>
      <c r="B124">
        <v>7258</v>
      </c>
    </row>
    <row r="125" spans="1:2" x14ac:dyDescent="0.3">
      <c r="A125" t="s">
        <v>767</v>
      </c>
      <c r="B125">
        <v>7258</v>
      </c>
    </row>
    <row r="126" spans="1:2" x14ac:dyDescent="0.3">
      <c r="A126">
        <v>6562</v>
      </c>
      <c r="B126">
        <v>5307</v>
      </c>
    </row>
    <row r="127" spans="1:2" x14ac:dyDescent="0.3">
      <c r="A127">
        <v>6563</v>
      </c>
      <c r="B127">
        <v>5385</v>
      </c>
    </row>
    <row r="128" spans="1:2" x14ac:dyDescent="0.3">
      <c r="A128">
        <v>6564</v>
      </c>
      <c r="B128">
        <v>6347</v>
      </c>
    </row>
    <row r="129" spans="1:2" x14ac:dyDescent="0.3">
      <c r="A129">
        <v>6565</v>
      </c>
      <c r="B129">
        <v>6278</v>
      </c>
    </row>
    <row r="130" spans="1:2" x14ac:dyDescent="0.3">
      <c r="A130" t="s">
        <v>726</v>
      </c>
      <c r="B130">
        <v>6294</v>
      </c>
    </row>
    <row r="131" spans="1:2" x14ac:dyDescent="0.3">
      <c r="A131" t="s">
        <v>727</v>
      </c>
      <c r="B131">
        <v>6372</v>
      </c>
    </row>
    <row r="132" spans="1:2" x14ac:dyDescent="0.3">
      <c r="A132" t="s">
        <v>728</v>
      </c>
      <c r="B132">
        <v>7354</v>
      </c>
    </row>
    <row r="133" spans="1:2" x14ac:dyDescent="0.3">
      <c r="A133" t="s">
        <v>729</v>
      </c>
      <c r="B133">
        <v>7285</v>
      </c>
    </row>
    <row r="134" spans="1:2" x14ac:dyDescent="0.3">
      <c r="A134">
        <v>6566</v>
      </c>
      <c r="B134">
        <v>5241</v>
      </c>
    </row>
    <row r="135" spans="1:2" x14ac:dyDescent="0.3">
      <c r="A135">
        <v>6567</v>
      </c>
      <c r="B135">
        <v>5862</v>
      </c>
    </row>
    <row r="136" spans="1:2" x14ac:dyDescent="0.3">
      <c r="A136" t="s">
        <v>612</v>
      </c>
      <c r="B136">
        <v>6849</v>
      </c>
    </row>
    <row r="137" spans="1:2" x14ac:dyDescent="0.3">
      <c r="A137">
        <v>6568</v>
      </c>
      <c r="B137">
        <v>6332</v>
      </c>
    </row>
    <row r="138" spans="1:2" x14ac:dyDescent="0.3">
      <c r="A138">
        <v>6569</v>
      </c>
      <c r="B138">
        <v>7010</v>
      </c>
    </row>
    <row r="139" spans="1:2" x14ac:dyDescent="0.3">
      <c r="A139" t="s">
        <v>613</v>
      </c>
      <c r="B139">
        <v>8018</v>
      </c>
    </row>
    <row r="140" spans="1:2" x14ac:dyDescent="0.3">
      <c r="A140">
        <v>6502</v>
      </c>
      <c r="B140">
        <v>2769</v>
      </c>
    </row>
    <row r="141" spans="1:2" x14ac:dyDescent="0.3">
      <c r="A141">
        <v>6503</v>
      </c>
      <c r="B141">
        <v>3390</v>
      </c>
    </row>
    <row r="142" spans="1:2" x14ac:dyDescent="0.3">
      <c r="A142">
        <v>6504</v>
      </c>
      <c r="B142">
        <v>3426</v>
      </c>
    </row>
    <row r="143" spans="1:2" x14ac:dyDescent="0.3">
      <c r="A143">
        <v>6505</v>
      </c>
      <c r="B143">
        <v>4106</v>
      </c>
    </row>
    <row r="144" spans="1:2" x14ac:dyDescent="0.3">
      <c r="A144" t="s">
        <v>672</v>
      </c>
      <c r="B144">
        <v>4377</v>
      </c>
    </row>
    <row r="145" spans="1:2" x14ac:dyDescent="0.3">
      <c r="A145" t="s">
        <v>673</v>
      </c>
      <c r="B145">
        <v>5112</v>
      </c>
    </row>
    <row r="146" spans="1:2" x14ac:dyDescent="0.3">
      <c r="A146" t="s">
        <v>502</v>
      </c>
      <c r="B146">
        <v>8965</v>
      </c>
    </row>
    <row r="147" spans="1:2" x14ac:dyDescent="0.3">
      <c r="A147" t="s">
        <v>768</v>
      </c>
      <c r="B147">
        <v>10940</v>
      </c>
    </row>
    <row r="148" spans="1:2" x14ac:dyDescent="0.3">
      <c r="A148" t="s">
        <v>508</v>
      </c>
      <c r="B148">
        <v>9601</v>
      </c>
    </row>
    <row r="149" spans="1:2" x14ac:dyDescent="0.3">
      <c r="A149" t="s">
        <v>769</v>
      </c>
      <c r="B149">
        <v>11575</v>
      </c>
    </row>
    <row r="150" spans="1:2" x14ac:dyDescent="0.3">
      <c r="A150" t="s">
        <v>504</v>
      </c>
      <c r="B150">
        <v>9038</v>
      </c>
    </row>
    <row r="151" spans="1:2" x14ac:dyDescent="0.3">
      <c r="A151" t="s">
        <v>770</v>
      </c>
      <c r="B151">
        <v>11013</v>
      </c>
    </row>
    <row r="152" spans="1:2" x14ac:dyDescent="0.3">
      <c r="A152" t="s">
        <v>509</v>
      </c>
      <c r="B152">
        <v>9673</v>
      </c>
    </row>
    <row r="153" spans="1:2" x14ac:dyDescent="0.3">
      <c r="A153" t="s">
        <v>771</v>
      </c>
      <c r="B153">
        <v>11649</v>
      </c>
    </row>
    <row r="154" spans="1:2" x14ac:dyDescent="0.3">
      <c r="A154" t="s">
        <v>505</v>
      </c>
      <c r="B154">
        <v>10602</v>
      </c>
    </row>
    <row r="155" spans="1:2" x14ac:dyDescent="0.3">
      <c r="A155" t="s">
        <v>772</v>
      </c>
      <c r="B155">
        <v>12617</v>
      </c>
    </row>
    <row r="156" spans="1:2" x14ac:dyDescent="0.3">
      <c r="A156" t="s">
        <v>507</v>
      </c>
      <c r="B156">
        <v>10645</v>
      </c>
    </row>
    <row r="157" spans="1:2" x14ac:dyDescent="0.3">
      <c r="A157" t="s">
        <v>773</v>
      </c>
      <c r="B157">
        <v>12660</v>
      </c>
    </row>
    <row r="158" spans="1:2" x14ac:dyDescent="0.3">
      <c r="A158" t="s">
        <v>506</v>
      </c>
      <c r="B158">
        <v>10528</v>
      </c>
    </row>
    <row r="159" spans="1:2" x14ac:dyDescent="0.3">
      <c r="A159" t="s">
        <v>774</v>
      </c>
      <c r="B159">
        <v>12542</v>
      </c>
    </row>
    <row r="160" spans="1:2" x14ac:dyDescent="0.3">
      <c r="A160" t="s">
        <v>510</v>
      </c>
      <c r="B160">
        <v>10571</v>
      </c>
    </row>
    <row r="161" spans="1:2" x14ac:dyDescent="0.3">
      <c r="A161" t="s">
        <v>775</v>
      </c>
      <c r="B161">
        <v>12585</v>
      </c>
    </row>
    <row r="162" spans="1:2" x14ac:dyDescent="0.3">
      <c r="A162" t="s">
        <v>511</v>
      </c>
      <c r="B162">
        <v>4945</v>
      </c>
    </row>
    <row r="163" spans="1:2" x14ac:dyDescent="0.3">
      <c r="A163" t="s">
        <v>776</v>
      </c>
      <c r="B163">
        <v>5932</v>
      </c>
    </row>
    <row r="164" spans="1:2" x14ac:dyDescent="0.3">
      <c r="A164" t="s">
        <v>512</v>
      </c>
      <c r="B164">
        <v>5703</v>
      </c>
    </row>
    <row r="165" spans="1:2" x14ac:dyDescent="0.3">
      <c r="A165" t="s">
        <v>777</v>
      </c>
      <c r="B165">
        <v>6690</v>
      </c>
    </row>
    <row r="166" spans="1:2" x14ac:dyDescent="0.3">
      <c r="A166" t="s">
        <v>513</v>
      </c>
      <c r="B166">
        <v>5022</v>
      </c>
    </row>
    <row r="167" spans="1:2" x14ac:dyDescent="0.3">
      <c r="A167" t="s">
        <v>778</v>
      </c>
      <c r="B167">
        <v>6010</v>
      </c>
    </row>
    <row r="168" spans="1:2" x14ac:dyDescent="0.3">
      <c r="A168" t="s">
        <v>514</v>
      </c>
      <c r="B168">
        <v>5781</v>
      </c>
    </row>
    <row r="169" spans="1:2" x14ac:dyDescent="0.3">
      <c r="A169" t="s">
        <v>779</v>
      </c>
      <c r="B169">
        <v>6768</v>
      </c>
    </row>
    <row r="170" spans="1:2" x14ac:dyDescent="0.3">
      <c r="A170" t="s">
        <v>515</v>
      </c>
      <c r="B170">
        <v>6275</v>
      </c>
    </row>
    <row r="171" spans="1:2" x14ac:dyDescent="0.3">
      <c r="A171" t="s">
        <v>780</v>
      </c>
      <c r="B171">
        <v>7283</v>
      </c>
    </row>
    <row r="172" spans="1:2" x14ac:dyDescent="0.3">
      <c r="A172" t="s">
        <v>516</v>
      </c>
      <c r="B172">
        <v>6318</v>
      </c>
    </row>
    <row r="173" spans="1:2" x14ac:dyDescent="0.3">
      <c r="A173" t="s">
        <v>781</v>
      </c>
      <c r="B173">
        <v>7326</v>
      </c>
    </row>
    <row r="174" spans="1:2" x14ac:dyDescent="0.3">
      <c r="A174" t="s">
        <v>517</v>
      </c>
      <c r="B174">
        <v>6208</v>
      </c>
    </row>
    <row r="175" spans="1:2" x14ac:dyDescent="0.3">
      <c r="A175" t="s">
        <v>782</v>
      </c>
      <c r="B175">
        <v>7215</v>
      </c>
    </row>
    <row r="176" spans="1:2" x14ac:dyDescent="0.3">
      <c r="A176" t="s">
        <v>518</v>
      </c>
      <c r="B176">
        <v>6250</v>
      </c>
    </row>
    <row r="177" spans="1:2" x14ac:dyDescent="0.3">
      <c r="A177" t="s">
        <v>783</v>
      </c>
      <c r="B177">
        <v>7258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149</vt:i4>
      </vt:variant>
    </vt:vector>
  </HeadingPairs>
  <TitlesOfParts>
    <vt:vector size="151" baseType="lpstr">
      <vt:lpstr>Calculator</vt:lpstr>
      <vt:lpstr>Assy</vt:lpstr>
      <vt:lpstr>eight</vt:lpstr>
      <vt:lpstr>eighteen</vt:lpstr>
      <vt:lpstr>eightyeight</vt:lpstr>
      <vt:lpstr>eightyfive</vt:lpstr>
      <vt:lpstr>eightynine</vt:lpstr>
      <vt:lpstr>eightytwo</vt:lpstr>
      <vt:lpstr>eleven</vt:lpstr>
      <vt:lpstr>fifteen</vt:lpstr>
      <vt:lpstr>fiftyfive</vt:lpstr>
      <vt:lpstr>fiftyfour</vt:lpstr>
      <vt:lpstr>fiftynine</vt:lpstr>
      <vt:lpstr>fiftyone</vt:lpstr>
      <vt:lpstr>fiftysix</vt:lpstr>
      <vt:lpstr>five</vt:lpstr>
      <vt:lpstr>forty</vt:lpstr>
      <vt:lpstr>fortyeight</vt:lpstr>
      <vt:lpstr>fortyfour</vt:lpstr>
      <vt:lpstr>fortyone</vt:lpstr>
      <vt:lpstr>fortyseven</vt:lpstr>
      <vt:lpstr>four</vt:lpstr>
      <vt:lpstr>fourteen</vt:lpstr>
      <vt:lpstr>fourty</vt:lpstr>
      <vt:lpstr>nine</vt:lpstr>
      <vt:lpstr>nineteen</vt:lpstr>
      <vt:lpstr>ninetyseven</vt:lpstr>
      <vt:lpstr>ninetysix</vt:lpstr>
      <vt:lpstr>ninetythree</vt:lpstr>
      <vt:lpstr>ninetytwo</vt:lpstr>
      <vt:lpstr>one</vt:lpstr>
      <vt:lpstr>oneeight</vt:lpstr>
      <vt:lpstr>oneeighty</vt:lpstr>
      <vt:lpstr>oneeightyeighty</vt:lpstr>
      <vt:lpstr>oneeightyfive</vt:lpstr>
      <vt:lpstr>oneeightyfour</vt:lpstr>
      <vt:lpstr>oneeightynine</vt:lpstr>
      <vt:lpstr>oneeightyone</vt:lpstr>
      <vt:lpstr>onefiftyeight</vt:lpstr>
      <vt:lpstr>onefiftyfive</vt:lpstr>
      <vt:lpstr>onefiftytwo</vt:lpstr>
      <vt:lpstr>onefive</vt:lpstr>
      <vt:lpstr>oneforty</vt:lpstr>
      <vt:lpstr>onefortyeight</vt:lpstr>
      <vt:lpstr>onefortyfive</vt:lpstr>
      <vt:lpstr>onefortyfour</vt:lpstr>
      <vt:lpstr>onefortynine</vt:lpstr>
      <vt:lpstr>onefortyone</vt:lpstr>
      <vt:lpstr>onefour</vt:lpstr>
      <vt:lpstr>onehundred</vt:lpstr>
      <vt:lpstr>onenine</vt:lpstr>
      <vt:lpstr>oneninetyseven</vt:lpstr>
      <vt:lpstr>oneninetysix</vt:lpstr>
      <vt:lpstr>oneninetythree</vt:lpstr>
      <vt:lpstr>oneninetytwo</vt:lpstr>
      <vt:lpstr>oneone</vt:lpstr>
      <vt:lpstr>oneseventeen</vt:lpstr>
      <vt:lpstr>oneseventyseven</vt:lpstr>
      <vt:lpstr>oneseventysix</vt:lpstr>
      <vt:lpstr>oneseventythree</vt:lpstr>
      <vt:lpstr>oneseventytwo</vt:lpstr>
      <vt:lpstr>onesixteen</vt:lpstr>
      <vt:lpstr>onesixtyeight</vt:lpstr>
      <vt:lpstr>onesixtyfive</vt:lpstr>
      <vt:lpstr>onesixtyfour</vt:lpstr>
      <vt:lpstr>onesixtynine</vt:lpstr>
      <vt:lpstr>onesixtyone</vt:lpstr>
      <vt:lpstr>onethirteen</vt:lpstr>
      <vt:lpstr>onethirtyseven</vt:lpstr>
      <vt:lpstr>onethirtysix</vt:lpstr>
      <vt:lpstr>onethirtythree</vt:lpstr>
      <vt:lpstr>onethirtytwo</vt:lpstr>
      <vt:lpstr>onetwelve</vt:lpstr>
      <vt:lpstr>onetwenty</vt:lpstr>
      <vt:lpstr>onetwentyeight</vt:lpstr>
      <vt:lpstr>onetwentyfive</vt:lpstr>
      <vt:lpstr>onetwentyfour</vt:lpstr>
      <vt:lpstr>onetwentynine</vt:lpstr>
      <vt:lpstr>onetwentyone</vt:lpstr>
      <vt:lpstr>Assy!Print_Area</vt:lpstr>
      <vt:lpstr>Calculator!Print_Area</vt:lpstr>
      <vt:lpstr>seven</vt:lpstr>
      <vt:lpstr>seventeen</vt:lpstr>
      <vt:lpstr>seventy</vt:lpstr>
      <vt:lpstr>seventynine</vt:lpstr>
      <vt:lpstr>seventysix</vt:lpstr>
      <vt:lpstr>seventythree</vt:lpstr>
      <vt:lpstr>sisteen</vt:lpstr>
      <vt:lpstr>six</vt:lpstr>
      <vt:lpstr>sixteen</vt:lpstr>
      <vt:lpstr>sixtynine</vt:lpstr>
      <vt:lpstr>sixtysix</vt:lpstr>
      <vt:lpstr>sixtythree</vt:lpstr>
      <vt:lpstr>sixtytwo</vt:lpstr>
      <vt:lpstr>ten</vt:lpstr>
      <vt:lpstr>thirteen</vt:lpstr>
      <vt:lpstr>thirtyfour</vt:lpstr>
      <vt:lpstr>thirtyseven</vt:lpstr>
      <vt:lpstr>thirtythree</vt:lpstr>
      <vt:lpstr>thirtytwo</vt:lpstr>
      <vt:lpstr>three</vt:lpstr>
      <vt:lpstr>twelve</vt:lpstr>
      <vt:lpstr>twenty</vt:lpstr>
      <vt:lpstr>twentyfive</vt:lpstr>
      <vt:lpstr>twentyfour</vt:lpstr>
      <vt:lpstr>twentynine</vt:lpstr>
      <vt:lpstr>twentyone</vt:lpstr>
      <vt:lpstr>twentysix</vt:lpstr>
      <vt:lpstr>twentythree</vt:lpstr>
      <vt:lpstr>twentytwo</vt:lpstr>
      <vt:lpstr>two</vt:lpstr>
      <vt:lpstr>twoeight</vt:lpstr>
      <vt:lpstr>twofifty</vt:lpstr>
      <vt:lpstr>twofiftyeight</vt:lpstr>
      <vt:lpstr>twofiftyfive</vt:lpstr>
      <vt:lpstr>twofiftyfour</vt:lpstr>
      <vt:lpstr>twofiftynine</vt:lpstr>
      <vt:lpstr>twofiftyone</vt:lpstr>
      <vt:lpstr>twofiftyseven</vt:lpstr>
      <vt:lpstr>twofiftysix</vt:lpstr>
      <vt:lpstr>twofiftythree</vt:lpstr>
      <vt:lpstr>twofiftytwo</vt:lpstr>
      <vt:lpstr>twofive</vt:lpstr>
      <vt:lpstr>twoforty</vt:lpstr>
      <vt:lpstr>twofortyeight</vt:lpstr>
      <vt:lpstr>twofortyfive</vt:lpstr>
      <vt:lpstr>twofortyfour</vt:lpstr>
      <vt:lpstr>twofortynine</vt:lpstr>
      <vt:lpstr>twofortyone</vt:lpstr>
      <vt:lpstr>twofortyseven</vt:lpstr>
      <vt:lpstr>twofortysix</vt:lpstr>
      <vt:lpstr>twofortythree</vt:lpstr>
      <vt:lpstr>twofortytwo</vt:lpstr>
      <vt:lpstr>twofour</vt:lpstr>
      <vt:lpstr>twohundred</vt:lpstr>
      <vt:lpstr>twonine</vt:lpstr>
      <vt:lpstr>twoone</vt:lpstr>
      <vt:lpstr>twoseventeen</vt:lpstr>
      <vt:lpstr>twosixteen</vt:lpstr>
      <vt:lpstr>twosixty</vt:lpstr>
      <vt:lpstr>twosixtyone</vt:lpstr>
      <vt:lpstr>twothirteen</vt:lpstr>
      <vt:lpstr>twothirtyfour</vt:lpstr>
      <vt:lpstr>twothirtyone</vt:lpstr>
      <vt:lpstr>twothirtyseven</vt:lpstr>
      <vt:lpstr>twotwelve</vt:lpstr>
      <vt:lpstr>twotwenty</vt:lpstr>
      <vt:lpstr>twotwentyeight</vt:lpstr>
      <vt:lpstr>twotwentyfive</vt:lpstr>
      <vt:lpstr>twotwentyfour</vt:lpstr>
      <vt:lpstr>twotwentyone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Domingo</dc:creator>
  <cp:lastModifiedBy>Nathaniel Tomokiyo</cp:lastModifiedBy>
  <cp:lastPrinted>2021-04-09T16:20:37Z</cp:lastPrinted>
  <dcterms:created xsi:type="dcterms:W3CDTF">2015-09-02T16:48:49Z</dcterms:created>
  <dcterms:modified xsi:type="dcterms:W3CDTF">2022-02-15T17:40:58Z</dcterms:modified>
</cp:coreProperties>
</file>